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4.77.163\2013\140 要綱・要領\R01\20200323_17_0 総合評価方式実施要領の運用\04 HP\"/>
    </mc:Choice>
  </mc:AlternateContent>
  <bookViews>
    <workbookView xWindow="0" yWindow="0" windowWidth="23040" windowHeight="9096" tabRatio="763"/>
  </bookViews>
  <sheets>
    <sheet name="1.基本データ(このシートは削除しないこと！)" sheetId="5" r:id="rId1"/>
    <sheet name="2.様式第1号(特別簡易型)" sheetId="6" r:id="rId2"/>
    <sheet name="3.様式第11号-1(特別簡易型)" sheetId="2" r:id="rId3"/>
    <sheet name="リスト" sheetId="8" r:id="rId4"/>
    <sheet name="リスト2" sheetId="9" r:id="rId5"/>
  </sheets>
  <definedNames>
    <definedName name="_xlnm.Print_Area" localSheetId="0">'1.基本データ(このシートは削除しないこと！)'!$B$1:$F$37</definedName>
    <definedName name="_xlnm.Print_Area" localSheetId="1">'2.様式第1号(特別簡易型)'!$A$1:$D$39</definedName>
    <definedName name="_xlnm.Print_Area" localSheetId="2">'3.様式第11号-1(特別簡易型)'!$B$2:$J$54</definedName>
  </definedNames>
  <calcPr calcId="162913"/>
</workbook>
</file>

<file path=xl/calcChain.xml><?xml version="1.0" encoding="utf-8"?>
<calcChain xmlns="http://schemas.openxmlformats.org/spreadsheetml/2006/main">
  <c r="W42" i="2" l="1"/>
  <c r="W43" i="2"/>
  <c r="W44" i="2"/>
  <c r="W45" i="2"/>
  <c r="W46" i="2"/>
  <c r="W47" i="2"/>
  <c r="W48" i="2"/>
  <c r="W49" i="2"/>
  <c r="W50" i="2"/>
  <c r="W41" i="2"/>
  <c r="W51" i="2" l="1"/>
  <c r="M19" i="2"/>
  <c r="M15" i="2"/>
  <c r="O34" i="2" l="1"/>
  <c r="M20" i="2" l="1"/>
  <c r="N9" i="2"/>
  <c r="S45" i="2" l="1"/>
  <c r="V45" i="2" s="1"/>
  <c r="Q45" i="2"/>
  <c r="P45" i="2"/>
  <c r="O45" i="2"/>
  <c r="M45" i="2"/>
  <c r="S44" i="2"/>
  <c r="V44" i="2" s="1"/>
  <c r="Q44" i="2"/>
  <c r="P44" i="2"/>
  <c r="O44" i="2"/>
  <c r="M44" i="2"/>
  <c r="E11" i="2" l="1"/>
  <c r="M11" i="2"/>
  <c r="AG11" i="2" s="1"/>
  <c r="F11" i="2" s="1"/>
  <c r="R35" i="2" l="1"/>
  <c r="R34" i="2"/>
  <c r="R36" i="2"/>
  <c r="R33" i="2"/>
  <c r="V36" i="2"/>
  <c r="V35" i="2"/>
  <c r="V34" i="2"/>
  <c r="Q33" i="2"/>
  <c r="V33" i="2"/>
  <c r="O36" i="2"/>
  <c r="O35" i="2"/>
  <c r="S33" i="2" l="1"/>
  <c r="O50" i="2"/>
  <c r="O51" i="2" s="1"/>
  <c r="O49" i="2"/>
  <c r="O48" i="2"/>
  <c r="O47" i="2"/>
  <c r="O46" i="2"/>
  <c r="O43" i="2"/>
  <c r="O42" i="2"/>
  <c r="O41" i="2"/>
  <c r="N13" i="2"/>
  <c r="M16" i="2"/>
  <c r="N6" i="2"/>
  <c r="M8" i="2"/>
  <c r="M7" i="2"/>
  <c r="H10" i="5" l="1"/>
  <c r="O30" i="2" l="1"/>
  <c r="V30" i="2" s="1"/>
  <c r="W30" i="2" s="1"/>
  <c r="M30" i="2"/>
  <c r="N30" i="2"/>
  <c r="V29" i="2" s="1"/>
  <c r="E15" i="5"/>
  <c r="E14" i="5"/>
  <c r="D15" i="5"/>
  <c r="D14" i="5"/>
  <c r="T44" i="2" l="1"/>
  <c r="T45" i="2"/>
  <c r="R44" i="2"/>
  <c r="R45" i="2"/>
  <c r="P30" i="2"/>
  <c r="V28" i="2"/>
  <c r="W28" i="2" s="1"/>
  <c r="H11" i="5"/>
  <c r="AG42" i="2" s="1"/>
  <c r="M10" i="2"/>
  <c r="AE45" i="2" l="1"/>
  <c r="AE44" i="2"/>
  <c r="AG45" i="2"/>
  <c r="AG49" i="2"/>
  <c r="AG47" i="2"/>
  <c r="AG41" i="2"/>
  <c r="AG43" i="2"/>
  <c r="AG44" i="2"/>
  <c r="U45" i="2"/>
  <c r="AD45" i="2" s="1"/>
  <c r="U44" i="2"/>
  <c r="AD44" i="2" s="1"/>
  <c r="AG30" i="2"/>
  <c r="AB45" i="2" l="1"/>
  <c r="AC45" i="2"/>
  <c r="AB44" i="2"/>
  <c r="AF44" i="2" s="1"/>
  <c r="AC44" i="2"/>
  <c r="E6" i="2"/>
  <c r="E9" i="2"/>
  <c r="E13" i="2"/>
  <c r="E17" i="2"/>
  <c r="E30" i="2"/>
  <c r="N10" i="2"/>
  <c r="E42" i="2"/>
  <c r="E31" i="2"/>
  <c r="E41" i="2"/>
  <c r="E43" i="2"/>
  <c r="E46" i="2"/>
  <c r="E48" i="2"/>
  <c r="E50" i="2"/>
  <c r="AF45" i="2" l="1"/>
  <c r="M51" i="2"/>
  <c r="AG51" i="2" s="1"/>
  <c r="M50" i="2"/>
  <c r="AG50" i="2" s="1"/>
  <c r="S46" i="2" l="1"/>
  <c r="V46" i="2" s="1"/>
  <c r="S47" i="2"/>
  <c r="V47" i="2" s="1"/>
  <c r="S48" i="2"/>
  <c r="V48" i="2" s="1"/>
  <c r="S49" i="2"/>
  <c r="V49" i="2" s="1"/>
  <c r="S50" i="2"/>
  <c r="S43" i="2"/>
  <c r="V43" i="2" s="1"/>
  <c r="S42" i="2"/>
  <c r="V42" i="2" s="1"/>
  <c r="S41" i="2"/>
  <c r="V41" i="2" s="1"/>
  <c r="Q46" i="2"/>
  <c r="Q47" i="2"/>
  <c r="Q48" i="2"/>
  <c r="Q49" i="2"/>
  <c r="Q50" i="2"/>
  <c r="Q43" i="2"/>
  <c r="Q42" i="2"/>
  <c r="Q41" i="2"/>
  <c r="P47" i="2"/>
  <c r="P48" i="2"/>
  <c r="P49" i="2"/>
  <c r="P50" i="2"/>
  <c r="P46" i="2"/>
  <c r="P43" i="2"/>
  <c r="P42" i="2"/>
  <c r="P41" i="2"/>
  <c r="M49" i="2"/>
  <c r="M48" i="2"/>
  <c r="AG48" i="2" s="1"/>
  <c r="M47" i="2"/>
  <c r="M46" i="2"/>
  <c r="AG46" i="2" s="1"/>
  <c r="M43" i="2"/>
  <c r="M42" i="2"/>
  <c r="M41" i="2"/>
  <c r="N43" i="2" l="1"/>
  <c r="N46" i="2" s="1"/>
  <c r="Q51" i="2"/>
  <c r="S51" i="2"/>
  <c r="V50" i="2"/>
  <c r="P51" i="2"/>
  <c r="U33" i="2"/>
  <c r="W33" i="2" s="1"/>
  <c r="V51" i="2" l="1"/>
  <c r="N48" i="2"/>
  <c r="N50" i="2" l="1"/>
  <c r="N33" i="2"/>
  <c r="N32" i="2"/>
  <c r="Q34" i="2" s="1"/>
  <c r="S34" i="2" s="1"/>
  <c r="N36" i="2"/>
  <c r="N35" i="2"/>
  <c r="Q36" i="2" l="1"/>
  <c r="S36" i="2" s="1"/>
  <c r="Q35" i="2"/>
  <c r="S35" i="2" s="1"/>
  <c r="M12" i="2"/>
  <c r="Z10" i="2"/>
  <c r="AB10" i="2" s="1"/>
  <c r="T10" i="2"/>
  <c r="V10" i="2" s="1"/>
  <c r="T8" i="2"/>
  <c r="V8" i="2" s="1"/>
  <c r="T7" i="2"/>
  <c r="V7" i="2" s="1"/>
  <c r="T6" i="2"/>
  <c r="V6" i="2" s="1"/>
  <c r="M13" i="2"/>
  <c r="N17" i="2"/>
  <c r="M14" i="2"/>
  <c r="M17" i="2"/>
  <c r="M18" i="2"/>
  <c r="M9" i="2"/>
  <c r="P9" i="2" s="1"/>
  <c r="M6" i="2"/>
  <c r="P13" i="2" l="1"/>
  <c r="P17" i="2"/>
  <c r="AG10" i="2"/>
  <c r="F9" i="2" s="1"/>
  <c r="F30" i="2"/>
  <c r="P6" i="2"/>
  <c r="AG6" i="2" s="1"/>
  <c r="V17" i="2" l="1"/>
  <c r="AG17" i="2"/>
  <c r="F17" i="2" s="1"/>
  <c r="V13" i="2"/>
  <c r="AG13" i="2" s="1"/>
  <c r="F13" i="2" s="1"/>
  <c r="F6" i="2"/>
  <c r="H9" i="5" l="1"/>
  <c r="H8" i="5"/>
  <c r="H7" i="5"/>
  <c r="H6" i="5"/>
  <c r="H5" i="5"/>
  <c r="H4" i="5"/>
  <c r="A16" i="6" l="1"/>
  <c r="E4" i="2"/>
  <c r="E28" i="2"/>
  <c r="E3" i="2"/>
  <c r="E27" i="2"/>
  <c r="R42" i="2"/>
  <c r="R41" i="2"/>
  <c r="R50" i="2"/>
  <c r="R47" i="2"/>
  <c r="R48" i="2"/>
  <c r="R49" i="2"/>
  <c r="R43" i="2"/>
  <c r="R46" i="2"/>
  <c r="U34" i="2"/>
  <c r="T42" i="2"/>
  <c r="T48" i="2"/>
  <c r="T43" i="2"/>
  <c r="T47" i="2"/>
  <c r="T41" i="2"/>
  <c r="T50" i="2"/>
  <c r="T49" i="2"/>
  <c r="T46" i="2"/>
  <c r="U36" i="2"/>
  <c r="W36" i="2" s="1"/>
  <c r="U35" i="2"/>
  <c r="W35" i="2" s="1"/>
  <c r="T51" i="2" l="1"/>
  <c r="R51" i="2"/>
  <c r="U43" i="2"/>
  <c r="AD43" i="2" s="1"/>
  <c r="U46" i="2"/>
  <c r="AD46" i="2" s="1"/>
  <c r="U47" i="2"/>
  <c r="AD47" i="2" s="1"/>
  <c r="U50" i="2"/>
  <c r="AD50" i="2" s="1"/>
  <c r="U49" i="2"/>
  <c r="AD49" i="2" s="1"/>
  <c r="U41" i="2"/>
  <c r="S32" i="2"/>
  <c r="U48" i="2"/>
  <c r="AD48" i="2" s="1"/>
  <c r="U42" i="2"/>
  <c r="AD42" i="2" s="1"/>
  <c r="AE36" i="2" l="1"/>
  <c r="AE35" i="2"/>
  <c r="AE34" i="2"/>
  <c r="AB42" i="2"/>
  <c r="AC42" i="2"/>
  <c r="AC46" i="2"/>
  <c r="AB46" i="2"/>
  <c r="AB49" i="2"/>
  <c r="AC49" i="2"/>
  <c r="AC48" i="2"/>
  <c r="AB48" i="2"/>
  <c r="AC50" i="2"/>
  <c r="AB51" i="2"/>
  <c r="AC51" i="2"/>
  <c r="AB50" i="2"/>
  <c r="AB47" i="2"/>
  <c r="AC47" i="2"/>
  <c r="AE31" i="2"/>
  <c r="AC41" i="2"/>
  <c r="AB41" i="2"/>
  <c r="AD41" i="2"/>
  <c r="U51" i="2"/>
  <c r="AD51" i="2" s="1"/>
  <c r="AB43" i="2"/>
  <c r="AC43" i="2"/>
  <c r="N34" i="2"/>
  <c r="AE50" i="2" l="1"/>
  <c r="AF51" i="2"/>
  <c r="AE51" i="2"/>
  <c r="AF49" i="2"/>
  <c r="AE49" i="2"/>
  <c r="AF47" i="2"/>
  <c r="AE47" i="2"/>
  <c r="AF48" i="2"/>
  <c r="AE48" i="2"/>
  <c r="AF46" i="2"/>
  <c r="AE46" i="2"/>
  <c r="AF43" i="2"/>
  <c r="AE43" i="2"/>
  <c r="AE42" i="2"/>
  <c r="AE41" i="2"/>
  <c r="AF50" i="2"/>
  <c r="AH50" i="2" s="1"/>
  <c r="AF42" i="2"/>
  <c r="AF41" i="2"/>
  <c r="AI31" i="2"/>
  <c r="AI30" i="2"/>
  <c r="AI33" i="2"/>
  <c r="AI32" i="2"/>
  <c r="AH46" i="2" l="1"/>
  <c r="AH48" i="2"/>
  <c r="AH43" i="2"/>
  <c r="AH42" i="2"/>
  <c r="F42" i="2" s="1"/>
  <c r="AH41" i="2"/>
  <c r="AI34" i="2"/>
  <c r="AK40" i="2" s="1"/>
  <c r="F43" i="2" l="1"/>
  <c r="B39" i="2"/>
  <c r="F50" i="2"/>
  <c r="F41" i="2"/>
  <c r="F48" i="2"/>
  <c r="F46" i="2"/>
  <c r="W34" i="2" l="1"/>
  <c r="W32" i="2" s="1"/>
  <c r="AF36" i="2" l="1"/>
  <c r="AF35" i="2"/>
  <c r="AF34" i="2"/>
  <c r="X32" i="2"/>
  <c r="O37" i="2"/>
  <c r="N37" i="2"/>
  <c r="N38" i="2" s="1"/>
  <c r="H37" i="2" s="1"/>
  <c r="O38" i="2" l="1"/>
  <c r="H38" i="2" s="1"/>
  <c r="AG36" i="2"/>
  <c r="F31" i="2" s="1"/>
  <c r="AJ33" i="2"/>
  <c r="AJ32" i="2"/>
  <c r="AJ30" i="2"/>
  <c r="AJ31" i="2"/>
  <c r="AJ34" i="2" l="1"/>
  <c r="AJ35" i="2" s="1"/>
  <c r="AJ36" i="2" s="1"/>
  <c r="J1" i="2" l="1"/>
  <c r="D17" i="5" s="1"/>
</calcChain>
</file>

<file path=xl/sharedStrings.xml><?xml version="1.0" encoding="utf-8"?>
<sst xmlns="http://schemas.openxmlformats.org/spreadsheetml/2006/main" count="618" uniqueCount="348">
  <si>
    <t>項　　　　目</t>
  </si>
  <si>
    <t>配置技術者</t>
  </si>
  <si>
    <t>配置技術者の施工能力（同種・類似工事の施工実績）</t>
  </si>
  <si>
    <t>※　記載事項の基準日は開札日とする。</t>
  </si>
  <si>
    <t>※　様式第11号が複数枚提出された場合には、全ての技術者の「配置予定技術者の技術力」を評価しません（0点）。</t>
  </si>
  <si>
    <t>項目</t>
    <phoneticPr fontId="18"/>
  </si>
  <si>
    <t>入札参加者の
所在地</t>
    <phoneticPr fontId="18"/>
  </si>
  <si>
    <t>消防団への
加入状況</t>
    <phoneticPr fontId="18"/>
  </si>
  <si>
    <t>企業の施工能力
（同種・類似工事の施工実績）</t>
    <phoneticPr fontId="18"/>
  </si>
  <si>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</si>
  <si>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</si>
  <si>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</si>
  <si>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</si>
  <si>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技 術 提 案 書</t>
  </si>
  <si>
    <t>住所</t>
  </si>
  <si>
    <t>商号又は名称</t>
  </si>
  <si>
    <t>電話番号</t>
  </si>
  <si>
    <t>記</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</si>
  <si>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</si>
  <si>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</si>
  <si>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</si>
  <si>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</si>
  <si>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</si>
  <si>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　電子入札システムにより提出する場合は、押印は不要。</t>
  </si>
  <si>
    <t>印</t>
    <rPh sb="0" eb="1">
      <t>イン</t>
    </rPh>
    <phoneticPr fontId="35"/>
  </si>
  <si>
    <t>）</t>
    <phoneticPr fontId="35"/>
  </si>
  <si>
    <t>代表者氏名</t>
    <phoneticPr fontId="35"/>
  </si>
  <si>
    <t>（作成担当者</t>
    <phoneticPr fontId="35"/>
  </si>
  <si>
    <t>　福　島　県</t>
    <phoneticPr fontId="35"/>
  </si>
  <si>
    <r>
      <rPr>
        <sz val="12"/>
        <color rgb="FF000000"/>
        <rFont val="ＭＳ Ｐゴシック"/>
        <family val="3"/>
        <charset val="128"/>
        <scheme val="minor"/>
      </rPr>
      <t>様式第１号</t>
    </r>
    <r>
      <rPr>
        <sz val="12"/>
        <color rgb="FF000000"/>
        <rFont val="ＭＳ 明朝"/>
        <family val="1"/>
        <charset val="128"/>
      </rPr>
      <t>（第７条関係）</t>
    </r>
    <phoneticPr fontId="35"/>
  </si>
  <si>
    <t>ボランティア活動
への取組状況</t>
    <phoneticPr fontId="18"/>
  </si>
  <si>
    <t>企業の工事成績
（同一発注種別工事で直近の工事成績）</t>
    <rPh sb="9" eb="11">
      <t>ドウイツ</t>
    </rPh>
    <rPh sb="11" eb="13">
      <t>ハッチュウ</t>
    </rPh>
    <rPh sb="13" eb="15">
      <t>シュベツ</t>
    </rPh>
    <rPh sb="15" eb="17">
      <t>コウジ</t>
    </rPh>
    <rPh sb="18" eb="20">
      <t>チョッキン</t>
    </rPh>
    <rPh sb="21" eb="23">
      <t>コウジ</t>
    </rPh>
    <rPh sb="23" eb="25">
      <t>セイセキ</t>
    </rPh>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</si>
  <si>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</si>
  <si>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</si>
  <si>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</si>
  <si>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</si>
  <si>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</si>
  <si>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</si>
  <si>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</si>
  <si>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</si>
  <si>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</si>
  <si>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</si>
  <si>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</si>
  <si>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</si>
  <si>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</si>
  <si>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</si>
  <si>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</si>
  <si>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</si>
  <si>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t>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</si>
  <si>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</si>
  <si>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</si>
  <si>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</si>
  <si>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</si>
  <si>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</si>
  <si>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</si>
  <si>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企業の工事成績の評価対象期間</t>
    <rPh sb="0" eb="2">
      <t>キギョウ</t>
    </rPh>
    <rPh sb="3" eb="5">
      <t>コウジ</t>
    </rPh>
    <rPh sb="5" eb="7">
      <t>セイセキ</t>
    </rPh>
    <rPh sb="8" eb="10">
      <t>ヒョウカ</t>
    </rPh>
    <rPh sb="10" eb="12">
      <t>タイショウ</t>
    </rPh>
    <rPh sb="12" eb="14">
      <t>キカン</t>
    </rPh>
    <phoneticPr fontId="35"/>
  </si>
  <si>
    <t>一般土木工事又は舗装工事"以外"</t>
  </si>
  <si>
    <t>一般土木工事又は舗装工事</t>
    <phoneticPr fontId="35"/>
  </si>
  <si>
    <t>発注種別</t>
    <rPh sb="0" eb="2">
      <t>ハッチュウ</t>
    </rPh>
    <rPh sb="2" eb="4">
      <t>シュベツ</t>
    </rPh>
    <phoneticPr fontId="35"/>
  </si>
  <si>
    <t>から</t>
    <phoneticPr fontId="35"/>
  </si>
  <si>
    <t>まで</t>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</si>
  <si>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</si>
  <si>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</si>
  <si>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</si>
  <si>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</si>
  <si>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</si>
  <si>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</si>
  <si>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</si>
  <si>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</si>
  <si>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</si>
  <si>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</si>
  <si>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</si>
  <si>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</si>
  <si>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</si>
  <si>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</si>
  <si>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</si>
  <si>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</si>
  <si>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</si>
  <si>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</si>
  <si>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</si>
  <si>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</si>
  <si>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</si>
  <si>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</si>
  <si>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</si>
  <si>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</si>
  <si>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</si>
  <si>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</si>
  <si>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</si>
  <si>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</si>
  <si>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</si>
  <si>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</si>
  <si>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</si>
  <si>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</si>
  <si>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</si>
  <si>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</si>
  <si>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</si>
  <si>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</si>
  <si>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</si>
  <si>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</si>
  <si>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</si>
  <si>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</si>
  <si>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</si>
  <si>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</si>
  <si>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</si>
  <si>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</si>
  <si>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</si>
  <si>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</si>
  <si>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</si>
  <si>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</si>
  <si>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</si>
  <si>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</si>
  <si>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</si>
  <si>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</si>
  <si>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</si>
  <si>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</si>
  <si>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</si>
  <si>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</si>
  <si>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</si>
  <si>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</si>
  <si>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</si>
  <si>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</si>
  <si>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</si>
  <si>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</si>
  <si>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</si>
  <si>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</si>
  <si>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</si>
  <si>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</si>
  <si>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</si>
  <si>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</si>
  <si>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</si>
  <si>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</si>
  <si>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</si>
  <si>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</si>
  <si>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</si>
  <si>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</si>
  <si>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</si>
  <si>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</si>
  <si>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</si>
  <si>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</si>
  <si>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</si>
  <si>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</si>
  <si>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</si>
  <si>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</si>
  <si>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</si>
  <si>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</si>
  <si>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</si>
  <si>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</si>
  <si>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</si>
  <si>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</si>
  <si>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</si>
  <si>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</si>
  <si>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項目</t>
    <rPh sb="0" eb="2">
      <t>コウモク</t>
    </rPh>
    <phoneticPr fontId="35"/>
  </si>
  <si>
    <t>工事番号</t>
    <rPh sb="0" eb="2">
      <t>コウジ</t>
    </rPh>
    <rPh sb="2" eb="4">
      <t>バンゴウ</t>
    </rPh>
    <phoneticPr fontId="35"/>
  </si>
  <si>
    <t>工事名</t>
    <rPh sb="0" eb="3">
      <t>コウジメイ</t>
    </rPh>
    <phoneticPr fontId="35"/>
  </si>
  <si>
    <t>公告日</t>
    <rPh sb="0" eb="3">
      <t>コウコクビ</t>
    </rPh>
    <phoneticPr fontId="35"/>
  </si>
  <si>
    <t>会社名</t>
    <rPh sb="0" eb="3">
      <t>カイシャメイ</t>
    </rPh>
    <phoneticPr fontId="35"/>
  </si>
  <si>
    <t>記入又は選択</t>
    <rPh sb="0" eb="2">
      <t>キニュウ</t>
    </rPh>
    <rPh sb="2" eb="3">
      <t>マタ</t>
    </rPh>
    <rPh sb="4" eb="6">
      <t>センタク</t>
    </rPh>
    <phoneticPr fontId="35"/>
  </si>
  <si>
    <t>備　考</t>
    <rPh sb="0" eb="1">
      <t>ソナエ</t>
    </rPh>
    <rPh sb="2" eb="3">
      <t>コウ</t>
    </rPh>
    <phoneticPr fontId="35"/>
  </si>
  <si>
    <t>企業の工事成績</t>
    <rPh sb="0" eb="2">
      <t>キギョウ</t>
    </rPh>
    <rPh sb="3" eb="5">
      <t>コウジ</t>
    </rPh>
    <rPh sb="5" eb="7">
      <t>セイセキ</t>
    </rPh>
    <phoneticPr fontId="35"/>
  </si>
  <si>
    <t>80点以上</t>
    <rPh sb="2" eb="3">
      <t>テン</t>
    </rPh>
    <rPh sb="3" eb="5">
      <t>イジョウ</t>
    </rPh>
    <phoneticPr fontId="35"/>
  </si>
  <si>
    <t>75点以上80点未満</t>
    <rPh sb="2" eb="3">
      <t>テン</t>
    </rPh>
    <rPh sb="3" eb="5">
      <t>イジョウ</t>
    </rPh>
    <rPh sb="7" eb="8">
      <t>テン</t>
    </rPh>
    <rPh sb="8" eb="10">
      <t>ミマン</t>
    </rPh>
    <phoneticPr fontId="35"/>
  </si>
  <si>
    <t>・（別記２）総合評価点評価基準の※３の発注種別を入力する。</t>
    <rPh sb="19" eb="21">
      <t>ハッチュウ</t>
    </rPh>
    <rPh sb="21" eb="23">
      <t>シュベツ</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</si>
  <si>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</si>
  <si>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</si>
  <si>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　記載事項の基準日は開札日とする。</t>
    <phoneticPr fontId="18"/>
  </si>
  <si>
    <t>入札公告の公告日を入力する。(令和○年○月○日の形式）</t>
    <rPh sb="0" eb="2">
      <t>ニュウサツ</t>
    </rPh>
    <rPh sb="2" eb="4">
      <t>コウコク</t>
    </rPh>
    <rPh sb="5" eb="8">
      <t>コウコクビ</t>
    </rPh>
    <rPh sb="9" eb="11">
      <t>ニュウリョク</t>
    </rPh>
    <rPh sb="15" eb="17">
      <t>レイワ</t>
    </rPh>
    <rPh sb="18" eb="19">
      <t>ネン</t>
    </rPh>
    <rPh sb="20" eb="21">
      <t>ガツ</t>
    </rPh>
    <rPh sb="22" eb="23">
      <t>ニチ</t>
    </rPh>
    <rPh sb="24" eb="26">
      <t>ケイシキ</t>
    </rPh>
    <phoneticPr fontId="35"/>
  </si>
  <si>
    <t>工事番号</t>
    <phoneticPr fontId="35"/>
  </si>
  <si>
    <t>発注者</t>
    <rPh sb="0" eb="3">
      <t>ハッチュウシャ</t>
    </rPh>
    <phoneticPr fontId="35"/>
  </si>
  <si>
    <t>災害対応実績</t>
    <rPh sb="0" eb="2">
      <t>サイガイ</t>
    </rPh>
    <rPh sb="2" eb="4">
      <t>タイオウ</t>
    </rPh>
    <rPh sb="4" eb="6">
      <t>ジッセキ</t>
    </rPh>
    <phoneticPr fontId="18"/>
  </si>
  <si>
    <t>工事番号・工事名：</t>
    <phoneticPr fontId="35"/>
  </si>
  <si>
    <t>会社名：</t>
    <phoneticPr fontId="35"/>
  </si>
  <si>
    <t>・（別記２）総合評価点評価基準の※３の期間を入力する。
・2020/04/01の形式で入力する。</t>
    <rPh sb="2" eb="4">
      <t>ベッキ</t>
    </rPh>
    <rPh sb="6" eb="10">
      <t>ソウゴウヒョウカ</t>
    </rPh>
    <rPh sb="10" eb="11">
      <t>テン</t>
    </rPh>
    <rPh sb="11" eb="13">
      <t>ヒョウカ</t>
    </rPh>
    <rPh sb="13" eb="15">
      <t>キジュン</t>
    </rPh>
    <rPh sb="19" eb="21">
      <t>キカン</t>
    </rPh>
    <rPh sb="22" eb="24">
      <t>ニュウリョク</t>
    </rPh>
    <rPh sb="40" eb="42">
      <t>ケイシキ</t>
    </rPh>
    <rPh sb="43" eb="45">
      <t>ニュウリョク</t>
    </rPh>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</si>
  <si>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</si>
  <si>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</si>
  <si>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</si>
  <si>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</si>
  <si>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</si>
  <si>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</si>
  <si>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本店(準本店)</t>
    <rPh sb="0" eb="2">
      <t>ホンテン</t>
    </rPh>
    <rPh sb="3" eb="4">
      <t>ジュン</t>
    </rPh>
    <rPh sb="4" eb="6">
      <t>ホンテン</t>
    </rPh>
    <phoneticPr fontId="35"/>
  </si>
  <si>
    <t>支店等</t>
    <rPh sb="0" eb="2">
      <t>シテン</t>
    </rPh>
    <rPh sb="2" eb="3">
      <t>トウ</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</si>
  <si>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</si>
  <si>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</si>
  <si>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</si>
  <si>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</si>
  <si>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</si>
  <si>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</si>
  <si>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</si>
  <si>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</si>
  <si>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</si>
  <si>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</si>
  <si>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</si>
  <si>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</si>
  <si>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</si>
  <si>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</si>
  <si>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</si>
  <si>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</si>
  <si>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</si>
  <si>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</si>
  <si>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</si>
  <si>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</si>
  <si>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</si>
  <si>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</si>
  <si>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</si>
  <si>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</si>
  <si>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</si>
  <si>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</si>
  <si>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</si>
  <si>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除雪・維持補修
　業務の実績</t>
    <rPh sb="3" eb="5">
      <t>イジ</t>
    </rPh>
    <rPh sb="5" eb="7">
      <t>ホシュウ</t>
    </rPh>
    <rPh sb="9" eb="11">
      <t>ギョウム</t>
    </rPh>
    <rPh sb="12" eb="14">
      <t>ジッセキ</t>
    </rPh>
    <phoneticPr fontId="18"/>
  </si>
  <si>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</si>
  <si>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</si>
  <si>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</si>
  <si>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</si>
  <si>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</si>
  <si>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</si>
  <si>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</si>
  <si>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</si>
  <si>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</si>
  <si>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</si>
  <si>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</si>
  <si>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</si>
  <si>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</si>
  <si>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</si>
  <si>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</si>
  <si>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</si>
  <si>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配置技術者の
工事成績</t>
    <rPh sb="7" eb="9">
      <t>コウジ</t>
    </rPh>
    <rPh sb="9" eb="11">
      <t>セイセキ</t>
    </rPh>
    <phoneticPr fontId="18"/>
  </si>
  <si>
    <t>企業の地域社会に対する貢献度</t>
    <phoneticPr fontId="35"/>
  </si>
  <si>
    <t>・（別記２）総合評価点評価基準の※4の市町村を入力する。
・市町村が２箇所設定されている場合は、市町村②も選択。</t>
    <rPh sb="19" eb="22">
      <t>シチョウソン</t>
    </rPh>
    <rPh sb="23" eb="25">
      <t>ニュウリョク</t>
    </rPh>
    <rPh sb="30" eb="33">
      <t>シチョウソン</t>
    </rPh>
    <rPh sb="35" eb="37">
      <t>カショ</t>
    </rPh>
    <rPh sb="37" eb="39">
      <t>セッテイ</t>
    </rPh>
    <rPh sb="44" eb="46">
      <t>バアイ</t>
    </rPh>
    <rPh sb="48" eb="51">
      <t>シチョウソン</t>
    </rPh>
    <rPh sb="53" eb="55">
      <t>センタク</t>
    </rPh>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</si>
  <si>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</si>
  <si>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</si>
  <si>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</si>
  <si>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</si>
  <si>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</si>
  <si>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同一市町村内での
工事実績件数【選択】</t>
    <rPh sb="0" eb="2">
      <t>ドウイツ</t>
    </rPh>
    <rPh sb="2" eb="5">
      <t>シチョウソン</t>
    </rPh>
    <rPh sb="5" eb="6">
      <t>ナイ</t>
    </rPh>
    <rPh sb="9" eb="11">
      <t>コウジ</t>
    </rPh>
    <rPh sb="11" eb="13">
      <t>ジッセキ</t>
    </rPh>
    <rPh sb="13" eb="15">
      <t>ケンスウ</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</si>
  <si>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</si>
  <si>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</si>
  <si>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</si>
  <si>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</si>
  <si>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</si>
  <si>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1：一般土木、舗装工事、10：左記以外の工事</t>
    <rPh sb="2" eb="4">
      <t>イッパン</t>
    </rPh>
    <rPh sb="4" eb="6">
      <t>ドボク</t>
    </rPh>
    <rPh sb="7" eb="9">
      <t>ホソウ</t>
    </rPh>
    <rPh sb="9" eb="11">
      <t>コウジ</t>
    </rPh>
    <rPh sb="15" eb="17">
      <t>サキ</t>
    </rPh>
    <rPh sb="17" eb="19">
      <t>イガイ</t>
    </rPh>
    <rPh sb="20" eb="22">
      <t>コウジ</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</si>
  <si>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</si>
  <si>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</si>
  <si>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</si>
  <si>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</si>
  <si>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</si>
  <si>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</si>
  <si>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</si>
  <si>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</si>
  <si>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t>新卒・離職者
の雇用実績</t>
    <rPh sb="3" eb="6">
      <t>リショクシャ</t>
    </rPh>
    <rPh sb="8" eb="10">
      <t>コヨウ</t>
    </rPh>
    <rPh sb="10" eb="12">
      <t>ジッセキ</t>
    </rPh>
    <phoneticPr fontId="18"/>
  </si>
  <si>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</si>
  <si>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</si>
  <si>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</si>
  <si>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</si>
  <si>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</si>
  <si>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</si>
  <si>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</si>
  <si>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</si>
  <si>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</si>
  <si>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</si>
  <si>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</si>
  <si>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</si>
  <si>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活動場所</t>
    <rPh sb="0" eb="2">
      <t>カツドウ</t>
    </rPh>
    <rPh sb="2" eb="4">
      <t>バショ</t>
    </rPh>
    <phoneticPr fontId="35"/>
  </si>
  <si>
    <r>
      <t>記　　載　　事　　項</t>
    </r>
    <r>
      <rPr>
        <sz val="9"/>
        <color rgb="FF000000"/>
        <rFont val="ＭＳ 明朝"/>
        <family val="1"/>
        <charset val="128"/>
      </rPr>
      <t>【　記載の仕方　総合評価方式様式関係記載留意事項　§３、４、５　】</t>
    </r>
  </si>
  <si>
    <r>
      <t>記　　載　　事　　項　</t>
    </r>
    <r>
      <rPr>
        <sz val="9"/>
        <color rgb="FF000000"/>
        <rFont val="ＭＳ 明朝"/>
        <family val="1"/>
        <charset val="128"/>
      </rPr>
      <t>【　記載の仕方　総合評価方式様式関係記載留意事項　§３，４，５　】</t>
    </r>
  </si>
  <si>
    <r>
      <t xml:space="preserve">記載事項
</t>
    </r>
    <r>
      <rPr>
        <sz val="7"/>
        <color rgb="FF000000"/>
        <rFont val="ＭＳ 明朝"/>
        <family val="1"/>
        <charset val="128"/>
      </rPr>
      <t>　【　記載の仕方　総合評価方式様式関係記載留意事項　§３，４，５　】</t>
    </r>
    <rPh sb="0" eb="2">
      <t>キサイ</t>
    </rPh>
    <rPh sb="2" eb="4">
      <t>ジコウ</t>
    </rPh>
    <phoneticPr fontId="35"/>
  </si>
  <si>
    <r>
      <t xml:space="preserve">氏　名
</t>
    </r>
    <r>
      <rPr>
        <sz val="6"/>
        <color rgb="FF000000"/>
        <rFont val="ＭＳ 明朝"/>
        <family val="1"/>
        <charset val="128"/>
      </rPr>
      <t xml:space="preserve"> ※記名ない場合、配置技術者の全ての項目を
　　評価しない（０点）</t>
    </r>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</si>
  <si>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</si>
  <si>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</si>
  <si>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発注種別【選択】</t>
    <rPh sb="0" eb="2">
      <t>ハッチュウ</t>
    </rPh>
    <rPh sb="2" eb="4">
      <t>シュベツ</t>
    </rPh>
    <rPh sb="5" eb="7">
      <t>センタク</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</si>
  <si>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</si>
  <si>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</si>
  <si>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</si>
  <si>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r>
      <t xml:space="preserve">工事概要
</t>
    </r>
    <r>
      <rPr>
        <sz val="8"/>
        <color rgb="FF000000"/>
        <rFont val="ＭＳ 明朝"/>
        <family val="1"/>
        <charset val="128"/>
      </rPr>
      <t>（同種･類似工事と判断可能な工種、
数量等）</t>
    </r>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</si>
  <si>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</si>
  <si>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</si>
  <si>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</si>
  <si>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1：本店or準本店</t>
    <rPh sb="2" eb="4">
      <t>ホンテン</t>
    </rPh>
    <rPh sb="6" eb="7">
      <t>ジュン</t>
    </rPh>
    <rPh sb="7" eb="9">
      <t>ホンテン</t>
    </rPh>
    <phoneticPr fontId="35"/>
  </si>
  <si>
    <t>・所在する市町村【選択】</t>
    <rPh sb="1" eb="3">
      <t>ショザイ</t>
    </rPh>
    <rPh sb="5" eb="8">
      <t>シチョウソン</t>
    </rPh>
    <rPh sb="9" eb="11">
      <t>センタク</t>
    </rPh>
    <phoneticPr fontId="35"/>
  </si>
  <si>
    <t>・準本店・支店等の別
【選択】</t>
    <rPh sb="1" eb="2">
      <t>ジュン</t>
    </rPh>
    <rPh sb="2" eb="4">
      <t>ホンテン</t>
    </rPh>
    <rPh sb="5" eb="7">
      <t>シテン</t>
    </rPh>
    <rPh sb="7" eb="8">
      <t>トウ</t>
    </rPh>
    <rPh sb="9" eb="10">
      <t>ベツ</t>
    </rPh>
    <rPh sb="12" eb="14">
      <t>センタク</t>
    </rPh>
    <phoneticPr fontId="35"/>
  </si>
  <si>
    <t>・本店・準本店・支店等
　の別【選択】</t>
    <rPh sb="1" eb="3">
      <t>ホンテン</t>
    </rPh>
    <rPh sb="4" eb="5">
      <t>ジュン</t>
    </rPh>
    <rPh sb="5" eb="7">
      <t>ホンテン</t>
    </rPh>
    <rPh sb="8" eb="10">
      <t>シテン</t>
    </rPh>
    <rPh sb="10" eb="11">
      <t>トウ</t>
    </rPh>
    <rPh sb="14" eb="15">
      <t>ベツ</t>
    </rPh>
    <rPh sb="16" eb="18">
      <t>センタク</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</si>
  <si>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</si>
  <si>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</si>
  <si>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</si>
  <si>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</si>
  <si>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</si>
  <si>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</si>
  <si>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</si>
  <si>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建設キャリア
アップシステム</t>
    <rPh sb="0" eb="2">
      <t>ケンセツ</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</si>
  <si>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</si>
  <si>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</si>
  <si>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　選択項目について、３項目以上選択された場合、選択されたものの中から上から順に２つを評価する。</t>
    <rPh sb="2" eb="4">
      <t>センタク</t>
    </rPh>
    <rPh sb="4" eb="6">
      <t>コウモク</t>
    </rPh>
    <rPh sb="12" eb="14">
      <t>コウモク</t>
    </rPh>
    <rPh sb="14" eb="16">
      <t>イジョウ</t>
    </rPh>
    <rPh sb="16" eb="18">
      <t>センタク</t>
    </rPh>
    <rPh sb="21" eb="23">
      <t>バアイ</t>
    </rPh>
    <rPh sb="24" eb="26">
      <t>センタク</t>
    </rPh>
    <rPh sb="32" eb="33">
      <t>ナカ</t>
    </rPh>
    <rPh sb="35" eb="36">
      <t>ウエ</t>
    </rPh>
    <rPh sb="38" eb="39">
      <t>ジュン</t>
    </rPh>
    <rPh sb="43" eb="45">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</si>
  <si>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</si>
  <si>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</si>
  <si>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</si>
  <si>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</si>
  <si>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工期【選択】
（対象：過去15年以内）</t>
    <rPh sb="0" eb="2">
      <t>コウキ</t>
    </rPh>
    <rPh sb="3" eb="5">
      <t>センタク</t>
    </rPh>
    <rPh sb="8" eb="10">
      <t>タイショウ</t>
    </rPh>
    <rPh sb="11" eb="13">
      <t>カコ</t>
    </rPh>
    <rPh sb="15" eb="16">
      <t>ネン</t>
    </rPh>
    <rPh sb="16" eb="18">
      <t>イナイ</t>
    </rPh>
    <phoneticPr fontId="35"/>
  </si>
  <si>
    <t>4：OK</t>
    <phoneticPr fontId="35"/>
  </si>
  <si>
    <r>
      <t xml:space="preserve">竣工検査年月日
</t>
    </r>
    <r>
      <rPr>
        <sz val="8"/>
        <color theme="1"/>
        <rFont val="ＭＳ 明朝"/>
        <family val="1"/>
        <charset val="128"/>
      </rPr>
      <t>（対象：直近）</t>
    </r>
    <r>
      <rPr>
        <sz val="6"/>
        <color theme="1"/>
        <rFont val="ＭＳ 明朝"/>
        <family val="1"/>
        <charset val="128"/>
      </rPr>
      <t>(入力例：2020/04/01)</t>
    </r>
    <rPh sb="0" eb="2">
      <t>シュンコウ</t>
    </rPh>
    <rPh sb="2" eb="4">
      <t>ケンサ</t>
    </rPh>
    <rPh sb="4" eb="7">
      <t>ネンガッピ</t>
    </rPh>
    <rPh sb="9" eb="11">
      <t>タイショウ</t>
    </rPh>
    <rPh sb="12" eb="14">
      <t>チョッキン</t>
    </rPh>
    <rPh sb="16" eb="18">
      <t>ニュウリョク</t>
    </rPh>
    <rPh sb="18" eb="19">
      <t>レイ</t>
    </rPh>
    <phoneticPr fontId="35"/>
  </si>
  <si>
    <t>1：80点以上</t>
    <rPh sb="4" eb="5">
      <t>テン</t>
    </rPh>
    <rPh sb="5" eb="7">
      <t>イジョウ</t>
    </rPh>
    <phoneticPr fontId="35"/>
  </si>
  <si>
    <t>工事成績
（対象：80点以上）</t>
    <rPh sb="0" eb="2">
      <t>コウジ</t>
    </rPh>
    <rPh sb="2" eb="4">
      <t>セイセキ</t>
    </rPh>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</si>
  <si>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</si>
  <si>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＜基本データ＞　※黄色セルに入力。提出は、様式第１号及び様式第１１号（その１）をPDF形式で提出又はexcel様式をそのまま提出。このシートは提出不要。</t>
    <rPh sb="9" eb="11">
      <t>キイロ</t>
    </rPh>
    <rPh sb="14" eb="16">
      <t>ニュウリョク</t>
    </rPh>
    <rPh sb="17" eb="19">
      <t>テイシュツ</t>
    </rPh>
    <rPh sb="21" eb="23">
      <t>ヨウシキ</t>
    </rPh>
    <rPh sb="23" eb="24">
      <t>ダイ</t>
    </rPh>
    <rPh sb="25" eb="26">
      <t>ゴウ</t>
    </rPh>
    <rPh sb="26" eb="27">
      <t>オヨ</t>
    </rPh>
    <rPh sb="28" eb="30">
      <t>ヨウシキ</t>
    </rPh>
    <rPh sb="30" eb="31">
      <t>ダイ</t>
    </rPh>
    <rPh sb="33" eb="34">
      <t>ゴウ</t>
    </rPh>
    <rPh sb="43" eb="45">
      <t>ケイシキ</t>
    </rPh>
    <rPh sb="46" eb="48">
      <t>テイシュツ</t>
    </rPh>
    <rPh sb="48" eb="49">
      <t>マタ</t>
    </rPh>
    <rPh sb="55" eb="57">
      <t>ヨウシキ</t>
    </rPh>
    <rPh sb="62" eb="64">
      <t>テイシュツ</t>
    </rPh>
    <rPh sb="71" eb="73">
      <t>テイシュツ</t>
    </rPh>
    <rPh sb="73" eb="75">
      <t>フヨウ</t>
    </rPh>
    <phoneticPr fontId="18"/>
  </si>
  <si>
    <t>配置期間</t>
    <rPh sb="0" eb="2">
      <t>ハイチ</t>
    </rPh>
    <rPh sb="2" eb="4">
      <t>キカン</t>
    </rPh>
    <phoneticPr fontId="35"/>
  </si>
  <si>
    <t>5：OK</t>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</si>
  <si>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</si>
  <si>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</si>
  <si>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（様式第１１－１号）</t>
    <phoneticPr fontId="35"/>
  </si>
  <si>
    <t>　　地域密着型</t>
    <phoneticPr fontId="35"/>
  </si>
  <si>
    <t>（様式第１１－２号）</t>
    <phoneticPr fontId="35"/>
  </si>
  <si>
    <t>　　簡易型</t>
    <phoneticPr fontId="35"/>
  </si>
  <si>
    <t>　　標準型</t>
    <phoneticPr fontId="35"/>
  </si>
  <si>
    <t>建設キャリアアップシステムに企業が登録し、当該現場で運用する場合に評価。【選択】</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</si>
  <si>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t>自動計算。（「品質確保等の確実性」(7点)を含まない。）</t>
    <rPh sb="2" eb="4">
      <t>ケイサン</t>
    </rPh>
    <rPh sb="19" eb="20">
      <t>テン</t>
    </rPh>
    <phoneticPr fontId="35"/>
  </si>
  <si>
    <t>工事成績【選択】
（対象：75点以上）</t>
    <rPh sb="0" eb="2">
      <t>コウジ</t>
    </rPh>
    <rPh sb="2" eb="4">
      <t>セイセキ</t>
    </rPh>
    <rPh sb="5" eb="7">
      <t>センタク</t>
    </rPh>
    <rPh sb="10" eb="12">
      <t>タイショウ</t>
    </rPh>
    <rPh sb="15" eb="16">
      <t>テン</t>
    </rPh>
    <rPh sb="16" eb="18">
      <t>イジョウ</t>
    </rPh>
    <phoneticPr fontId="35"/>
  </si>
  <si>
    <t>工期（対象：過去10年以内）</t>
    <rPh sb="0" eb="2">
      <t>コウキ</t>
    </rPh>
    <phoneticPr fontId="35"/>
  </si>
  <si>
    <t>工期（対象：過去4年以内）</t>
    <rPh sb="0" eb="2">
      <t>コウキ</t>
    </rPh>
    <phoneticPr fontId="35"/>
  </si>
  <si>
    <t>・所在する市町村【選択】
　※該当なしの場合”－”</t>
    <rPh sb="1" eb="3">
      <t>ショザイ</t>
    </rPh>
    <rPh sb="5" eb="8">
      <t>シチョウソン</t>
    </rPh>
    <rPh sb="9" eb="11">
      <t>センタク</t>
    </rPh>
    <rPh sb="15" eb="17">
      <t>ガイトウ</t>
    </rPh>
    <rPh sb="20" eb="22">
      <t>バアイ</t>
    </rPh>
    <phoneticPr fontId="35"/>
  </si>
  <si>
    <t>令和○年○月○日</t>
    <rPh sb="0" eb="2">
      <t>レイワ</t>
    </rPh>
    <rPh sb="3" eb="4">
      <t>ネン</t>
    </rPh>
    <rPh sb="5" eb="6">
      <t>ガツ</t>
    </rPh>
    <rPh sb="7" eb="8">
      <t>ニチ</t>
    </rPh>
    <phoneticPr fontId="35"/>
  </si>
  <si>
    <t xml:space="preserve">第○○-○○○○○-○○○○号 </t>
    <rPh sb="0" eb="1">
      <t>ダイ</t>
    </rPh>
    <rPh sb="14" eb="15">
      <t>ゴウ</t>
    </rPh>
    <phoneticPr fontId="35"/>
  </si>
  <si>
    <t>○○○○○○○○○○○○○○工事</t>
    <rPh sb="14" eb="16">
      <t>コウジ</t>
    </rPh>
    <phoneticPr fontId="35"/>
  </si>
  <si>
    <t>県内
県外</t>
    <rPh sb="0" eb="2">
      <t>ケンナイ</t>
    </rPh>
    <rPh sb="3" eb="5">
      <t>ケンガイ</t>
    </rPh>
    <phoneticPr fontId="35"/>
  </si>
  <si>
    <t>県内</t>
    <rPh sb="0" eb="2">
      <t>ケンナイ</t>
    </rPh>
    <phoneticPr fontId="35"/>
  </si>
  <si>
    <t>-</t>
    <phoneticPr fontId="35"/>
  </si>
  <si>
    <t>県外</t>
    <rPh sb="0" eb="2">
      <t>ケンガイ</t>
    </rPh>
    <phoneticPr fontId="35"/>
  </si>
  <si>
    <t>県内
県外</t>
    <rPh sb="3" eb="5">
      <t>ケンガイ</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</si>
  <si>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</si>
  <si>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2">
      <t>ケンナイ</t>
    </rPh>
    <phoneticPr fontId="35"/>
  </si>
  <si>
    <t>地域要件
全国</t>
    <rPh sb="0" eb="2">
      <t>チイキ</t>
    </rPh>
    <rPh sb="2" eb="4">
      <t>ヨウケン</t>
    </rPh>
    <rPh sb="5" eb="7">
      <t>ゼンコク</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</si>
  <si>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</si>
  <si>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</si>
  <si>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</si>
  <si>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　　特別簡易型（復旧型・復興型）</t>
    <phoneticPr fontId="35"/>
  </si>
  <si>
    <r>
      <t>①　企業の技術力及び貢献度（実績・経験等）</t>
    </r>
    <r>
      <rPr>
        <sz val="10"/>
        <rFont val="ＭＳ 明朝"/>
        <family val="1"/>
        <charset val="128"/>
      </rPr>
      <t>（特別簡易型・復旧型・復興型）</t>
    </r>
    <phoneticPr fontId="35"/>
  </si>
  <si>
    <r>
      <t>①　企業の技術力及び貢献度（実績・経験等）</t>
    </r>
    <r>
      <rPr>
        <sz val="10"/>
        <rFont val="ＭＳ 明朝"/>
        <family val="1"/>
        <charset val="128"/>
      </rPr>
      <t>（地域密着型）</t>
    </r>
    <phoneticPr fontId="35"/>
  </si>
  <si>
    <t>※　確認のための提出書類は、落札候補者となり入札執行権者から連絡があってから指定期日までに提出すること。</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</si>
  <si>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</si>
  <si>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</si>
  <si>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 xml:space="preserve">
○様式第１号に記載された「商号」「住所」等の詳細について選択する。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○「委任なし支店等の有無、所在地」は、建設業法許可がある支店・営業所が入札参加者よりも工事箇所に近い評価対象区域へある場合に選択。
</t>
    <rPh sb="29" eb="31">
      <t>センタク</t>
    </rPh>
    <rPh sb="47" eb="50">
      <t>ジムショ</t>
    </rPh>
    <rPh sb="61" eb="62">
      <t>クニ</t>
    </rPh>
    <rPh sb="63" eb="64">
      <t>ケン</t>
    </rPh>
    <rPh sb="65" eb="68">
      <t>シチョウソン</t>
    </rPh>
    <rPh sb="163" eb="165">
      <t>センタク</t>
    </rPh>
    <phoneticPr fontId="35"/>
  </si>
  <si>
    <r>
      <t>【下位点】過去1年以内に新卒者又は離職者(</t>
    </r>
    <r>
      <rPr>
        <b/>
        <sz val="10"/>
        <rFont val="ＭＳ ゴシック"/>
        <family val="3"/>
        <charset val="128"/>
      </rPr>
      <t>離職の日から1ヶ月以上経過している者に限る。</t>
    </r>
    <r>
      <rPr>
        <sz val="10"/>
        <rFont val="ＭＳ 明朝"/>
        <family val="1"/>
        <charset val="128"/>
      </rPr>
      <t>)を１名雇用している場合</t>
    </r>
    <rPh sb="1" eb="4">
      <t>カイテン</t>
    </rPh>
    <rPh sb="5" eb="7">
      <t>カコ</t>
    </rPh>
    <rPh sb="8" eb="9">
      <t>ネン</t>
    </rPh>
    <rPh sb="9" eb="11">
      <t>イナイ</t>
    </rPh>
    <rPh sb="53" eb="55">
      <t>バアイ</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</si>
  <si>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</si>
  <si>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</si>
  <si>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【上位点】直前の5年度間連続して国・県・市町村いずれかの除雪業務と維持補修業務の履行実績がある場合。又は過去5年度以内に福島県道路除雪表彰事業により感謝状を受けた場合。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リコウ</t>
    </rPh>
    <rPh sb="42" eb="44">
      <t>ジッセキ</t>
    </rPh>
    <rPh sb="47" eb="49">
      <t>バアイ</t>
    </rPh>
    <rPh sb="50" eb="51">
      <t>マタ</t>
    </rPh>
    <rPh sb="52" eb="54">
      <t>カコ</t>
    </rPh>
    <rPh sb="55" eb="57">
      <t>ネンド</t>
    </rPh>
    <rPh sb="57" eb="59">
      <t>イナイ</t>
    </rPh>
    <rPh sb="60" eb="63">
      <t>フクシマケン</t>
    </rPh>
    <rPh sb="63" eb="65">
      <t>ドウロ</t>
    </rPh>
    <rPh sb="65" eb="67">
      <t>ジョセツ</t>
    </rPh>
    <rPh sb="67" eb="69">
      <t>ヒョウショウ</t>
    </rPh>
    <rPh sb="69" eb="71">
      <t>ジギョウ</t>
    </rPh>
    <rPh sb="74" eb="77">
      <t>カンシャジョウ</t>
    </rPh>
    <rPh sb="78" eb="79">
      <t>ウ</t>
    </rPh>
    <rPh sb="81" eb="83">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</si>
  <si>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</si>
  <si>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　確認のための提出書類は、落札候補者となり入札執行権者から連絡があってから指定期日までに提出すること。</t>
    <phoneticPr fontId="35"/>
  </si>
  <si>
    <r>
      <t>【上位点】過去1年以内に新卒者又は離職者(</t>
    </r>
    <r>
      <rPr>
        <b/>
        <sz val="10"/>
        <rFont val="ＭＳ ゴシック"/>
        <family val="3"/>
        <charset val="128"/>
      </rPr>
      <t>離職の日から1ヶ月以上経過している者に限る。</t>
    </r>
    <r>
      <rPr>
        <sz val="10"/>
        <rFont val="ＭＳ 明朝"/>
        <family val="1"/>
        <charset val="128"/>
      </rPr>
      <t>)を２名雇用の場合。又は被災者等を１名雇用している場合。※活動場所は勤務地市町村を選択する。なお、２名雇用の場合は、どちらか１名の市町村を選択し、残りの１名は落札候補者になってから事後確認する。</t>
    </r>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</si>
  <si>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t>(株)○○建設</t>
    <rPh sb="0" eb="3">
      <t>カブ</t>
    </rPh>
    <rPh sb="5" eb="7">
      <t>ケンセツ</t>
    </rPh>
    <phoneticPr fontId="35"/>
  </si>
  <si>
    <t>同一市町村内での公共工事の実績</t>
    <phoneticPr fontId="35"/>
  </si>
  <si>
    <t>2020/XX/XX</t>
    <phoneticPr fontId="35"/>
  </si>
  <si>
    <t>2020/XX/XX</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</si>
</sst>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0&quot;百万円&quot;"/>
  </numFmts>
  <fonts count="67"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8"/>
      <color rgb="FF000000"/>
      <name val="ＭＳ 明朝"/>
      <family val="1"/>
      <charset val="128"/>
    </font>
    <font>
      <sz val="11"/>
      <color theme="1"/>
      <name val="ＭＳ 明朝"/>
      <family val="1"/>
      <charset val="128"/>
    </font>
    <font>
      <sz val="8"/>
      <color theme="1"/>
      <name val="ＭＳ 明朝"/>
      <family val="1"/>
      <charset val="128"/>
    </font>
    <font>
      <sz val="12"/>
      <color rgb="FF000000"/>
      <name val="ＭＳ Ｐゴシック"/>
      <family val="3"/>
      <charset val="128"/>
      <scheme val="minor"/>
    </font>
    <font>
      <sz val="12"/>
      <name val="ＭＳ 明朝"/>
      <family val="1"/>
      <charset val="128"/>
    </font>
    <font>
      <sz val="8"/>
      <name val="ＭＳ 明朝"/>
      <family val="1"/>
      <charset val="128"/>
    </font>
    <font>
      <b/>
      <sz val="8"/>
      <name val="ＭＳ ゴシック"/>
      <family val="3"/>
      <charset val="128"/>
    </font>
    <font>
      <sz val="12"/>
      <name val="ＭＳ ゴシック"/>
      <family val="3"/>
      <charset val="128"/>
    </font>
    <font>
      <sz val="6"/>
      <color theme="1"/>
      <name val="ＭＳ 明朝"/>
      <family val="1"/>
      <charset val="128"/>
    </font>
    <font>
      <sz val="11"/>
      <name val="ＭＳ Ｐゴシック"/>
      <family val="3"/>
      <charset val="128"/>
    </font>
    <font>
      <sz val="11"/>
      <color rgb="FF000000"/>
      <name val="ＭＳ Ｐゴシック"/>
      <family val="3"/>
      <charset val="128"/>
    </font>
    <font>
      <sz val="6"/>
      <color rgb="FF000000"/>
      <name val="ＭＳ 明朝"/>
      <family val="1"/>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u/>
      <sz val="9"/>
      <color rgb="FFFF0000"/>
      <name val="ＭＳ 明朝"/>
      <family val="1"/>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9"/>
      <color theme="1"/>
      <name val="ＭＳ Ｐゴシック"/>
      <family val="3"/>
      <charset val="128"/>
      <scheme val="minor"/>
    </font>
    <font>
      <sz val="9"/>
      <name val="ＭＳ 明朝"/>
      <family val="1"/>
      <charset val="128"/>
    </font>
    <font>
      <sz val="11"/>
      <name val="ＭＳ 明朝"/>
      <family val="1"/>
      <charset val="128"/>
    </font>
    <font>
      <b/>
      <sz val="10"/>
      <name val="ＭＳ ゴシック"/>
      <family val="3"/>
      <charset val="128"/>
    </font>
    <font>
      <sz val="10.5"/>
      <name val="ＭＳ Ｐ明朝"/>
      <family val="1"/>
      <charset val="128"/>
    </font>
    <font>
      <sz val="14"/>
      <name val="HG創英角ﾎﾟｯﾌﾟ体"/>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rgb="FF000000"/>
      </patternFill>
    </fill>
    <fill>
      <patternFill patternType="solid">
        <fgColor rgb="FFFFFFCC"/>
        <bgColor indexed="64"/>
      </patternFill>
    </fill>
  </fills>
  <borders count="9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diagonalUp="1">
      <left style="medium">
        <color indexed="64"/>
      </left>
      <right/>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left style="thin">
        <color indexed="64"/>
      </left>
      <right style="medium">
        <color indexed="64"/>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92">
    <xf numFmtId="0" fontId="19" fillId="0" borderId="0" xfId="0" applyFont="1">
      <alignment vertical="center"/>
    </xf>
    <xf numFmtId="0" fontId="0" fillId="0" borderId="0" xfId="0" applyFont="1">
      <alignment vertical="center"/>
    </xf>
    <xf numFmtId="0" fontId="21" fillId="0" borderId="0" xfId="0" applyFont="1" applyAlignment="1">
      <alignment horizontal="justify" vertical="center"/>
    </xf>
    <xf numFmtId="0" fontId="19" fillId="0" borderId="10" xfId="0" applyFont="1" applyBorder="1">
      <alignment vertical="center"/>
    </xf>
    <xf numFmtId="0" fontId="0" fillId="0" borderId="0" xfId="0" applyFont="1" applyBorder="1">
      <alignment vertical="center"/>
    </xf>
    <xf numFmtId="0" fontId="19" fillId="0" borderId="25" xfId="0" applyFont="1" applyBorder="1">
      <alignment vertical="center"/>
    </xf>
    <xf numFmtId="176" fontId="19" fillId="0" borderId="10" xfId="0" applyNumberFormat="1" applyFont="1" applyBorder="1">
      <alignment vertical="center"/>
    </xf>
    <xf numFmtId="0" fontId="19" fillId="0" borderId="0" xfId="0" applyFont="1" applyBorder="1">
      <alignment vertical="center"/>
    </xf>
    <xf numFmtId="0" fontId="27" fillId="0" borderId="0" xfId="0" applyFont="1" applyBorder="1" applyAlignment="1">
      <alignment horizontal="right" vertical="top"/>
    </xf>
    <xf numFmtId="0" fontId="32" fillId="0" borderId="0" xfId="0" applyFont="1" applyBorder="1" applyAlignment="1">
      <alignment horizontal="left" vertical="top" wrapText="1"/>
    </xf>
    <xf numFmtId="0" fontId="20" fillId="0" borderId="0" xfId="0" applyFont="1" applyBorder="1" applyAlignment="1">
      <alignment vertical="center" wrapText="1"/>
    </xf>
    <xf numFmtId="0" fontId="22" fillId="0" borderId="0" xfId="0" applyFont="1" applyAlignment="1">
      <alignment horizontal="justify" vertical="center"/>
    </xf>
    <xf numFmtId="0" fontId="22" fillId="0" borderId="0" xfId="0" applyFont="1" applyAlignment="1">
      <alignment horizontal="left" vertical="center"/>
    </xf>
    <xf numFmtId="0" fontId="38" fillId="0" borderId="0" xfId="0" applyFont="1">
      <alignment vertical="center"/>
    </xf>
    <xf numFmtId="49" fontId="38" fillId="0" borderId="0" xfId="0" applyNumberFormat="1" applyFont="1">
      <alignment vertical="center"/>
    </xf>
    <xf numFmtId="178" fontId="30" fillId="0" borderId="27" xfId="0" applyNumberFormat="1" applyFont="1" applyBorder="1" applyAlignment="1">
      <alignment vertical="center"/>
    </xf>
    <xf numFmtId="0" fontId="22" fillId="0" borderId="0" xfId="0" applyFont="1" applyAlignment="1">
      <alignment horizontal="left" vertical="center"/>
    </xf>
    <xf numFmtId="0" fontId="22" fillId="0" borderId="0" xfId="0" applyFont="1" applyAlignment="1" applyProtection="1">
      <alignment horizontal="justify" vertical="center"/>
      <protection locked="0"/>
    </xf>
    <xf numFmtId="0" fontId="22" fillId="34" borderId="0" xfId="0" applyFont="1" applyFill="1" applyAlignment="1" applyProtection="1">
      <alignment horizontal="justify" vertical="center"/>
      <protection locked="0"/>
    </xf>
    <xf numFmtId="0" fontId="39" fillId="34" borderId="0" xfId="0" applyFont="1" applyFill="1" applyAlignment="1" applyProtection="1">
      <alignment vertical="center" shrinkToFit="1"/>
      <protection locked="0"/>
    </xf>
    <xf numFmtId="0" fontId="38" fillId="34" borderId="0" xfId="0" applyFont="1" applyFill="1" applyAlignment="1" applyProtection="1">
      <alignment vertical="center" shrinkToFit="1"/>
      <protection locked="0"/>
    </xf>
    <xf numFmtId="0" fontId="19" fillId="0" borderId="10" xfId="0" applyFont="1" applyBorder="1" applyAlignment="1">
      <alignment horizontal="center" vertical="center"/>
    </xf>
    <xf numFmtId="0" fontId="0" fillId="0" borderId="0" xfId="0" applyAlignment="1"/>
    <xf numFmtId="0" fontId="0" fillId="0" borderId="10" xfId="0" applyBorder="1" applyAlignment="1">
      <alignment horizontal="left" vertical="center"/>
    </xf>
    <xf numFmtId="0" fontId="0" fillId="0" borderId="0" xfId="0"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19" fillId="0" borderId="0" xfId="0" applyFont="1" applyAlignment="1">
      <alignment vertical="center"/>
    </xf>
    <xf numFmtId="0" fontId="19" fillId="0" borderId="10" xfId="0" applyFont="1" applyBorder="1" applyAlignment="1">
      <alignment vertical="center"/>
    </xf>
    <xf numFmtId="179" fontId="19" fillId="34" borderId="10" xfId="0" applyNumberFormat="1" applyFont="1" applyFill="1" applyBorder="1" applyAlignment="1" applyProtection="1">
      <alignment horizontal="left" vertical="center"/>
      <protection locked="0"/>
    </xf>
    <xf numFmtId="0" fontId="34" fillId="0" borderId="0" xfId="0" applyFont="1" applyBorder="1" applyAlignment="1">
      <alignment horizontal="left" vertical="center"/>
    </xf>
    <xf numFmtId="179" fontId="19" fillId="0" borderId="10" xfId="0" applyNumberFormat="1" applyFont="1" applyFill="1" applyBorder="1" applyAlignment="1" applyProtection="1">
      <alignment horizontal="center" vertical="center"/>
      <protection locked="0"/>
    </xf>
    <xf numFmtId="0" fontId="19" fillId="0" borderId="0" xfId="0" applyFont="1" applyFill="1" applyAlignment="1">
      <alignment vertical="center"/>
    </xf>
    <xf numFmtId="0" fontId="0" fillId="0" borderId="25" xfId="0" applyFont="1" applyFill="1" applyBorder="1" applyAlignment="1" applyProtection="1">
      <alignment vertical="center"/>
      <protection locked="0"/>
    </xf>
    <xf numFmtId="0" fontId="19" fillId="0" borderId="18" xfId="0" applyFont="1" applyFill="1" applyBorder="1" applyAlignment="1">
      <alignment horizontal="left" vertical="center"/>
    </xf>
    <xf numFmtId="0" fontId="19" fillId="0" borderId="19" xfId="0" applyFont="1" applyBorder="1" applyAlignment="1">
      <alignment horizontal="left" vertical="center"/>
    </xf>
    <xf numFmtId="177" fontId="19" fillId="0" borderId="10" xfId="0" applyNumberFormat="1" applyFont="1" applyBorder="1" applyAlignment="1">
      <alignment vertical="center"/>
    </xf>
    <xf numFmtId="0" fontId="36" fillId="0" borderId="10" xfId="0" applyFont="1" applyBorder="1" applyAlignment="1">
      <alignment horizontal="left" vertical="center"/>
    </xf>
    <xf numFmtId="0" fontId="23" fillId="0" borderId="0" xfId="0" applyFont="1" applyFill="1" applyBorder="1" applyAlignment="1">
      <alignment vertical="center" wrapText="1"/>
    </xf>
    <xf numFmtId="0" fontId="42" fillId="0" borderId="0" xfId="0" applyFont="1" applyBorder="1" applyAlignment="1">
      <alignment vertical="top" wrapText="1"/>
    </xf>
    <xf numFmtId="0" fontId="42" fillId="0" borderId="0" xfId="0" applyFont="1" applyBorder="1" applyAlignment="1">
      <alignment vertical="center" wrapText="1"/>
    </xf>
    <xf numFmtId="0" fontId="25" fillId="0" borderId="0" xfId="0" applyFont="1" applyBorder="1" applyAlignment="1">
      <alignment vertical="center" wrapText="1"/>
    </xf>
    <xf numFmtId="0" fontId="41" fillId="0" borderId="10" xfId="0" applyFont="1" applyFill="1" applyBorder="1" applyAlignment="1">
      <alignment horizontal="center" vertical="center" shrinkToFit="1"/>
    </xf>
    <xf numFmtId="176" fontId="23" fillId="0" borderId="10" xfId="0" applyNumberFormat="1" applyFont="1" applyFill="1" applyBorder="1" applyAlignment="1">
      <alignment horizontal="right" vertical="center" wrapText="1"/>
    </xf>
    <xf numFmtId="177" fontId="0" fillId="0" borderId="18" xfId="0" applyNumberFormat="1" applyBorder="1" applyAlignment="1">
      <alignment horizontal="center" vertical="center"/>
    </xf>
    <xf numFmtId="0" fontId="19" fillId="0" borderId="26" xfId="0" applyFont="1" applyBorder="1">
      <alignment vertical="center"/>
    </xf>
    <xf numFmtId="0" fontId="22" fillId="0" borderId="0" xfId="0" applyFont="1" applyFill="1" applyBorder="1" applyAlignment="1">
      <alignment horizontal="center" vertical="center" wrapText="1"/>
    </xf>
    <xf numFmtId="0" fontId="42"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43" fillId="0" borderId="0" xfId="0" applyFont="1" applyFill="1" applyBorder="1" applyAlignment="1">
      <alignment vertical="center" wrapText="1"/>
    </xf>
    <xf numFmtId="177" fontId="46" fillId="0" borderId="0" xfId="0" applyNumberFormat="1" applyFont="1" applyFill="1" applyBorder="1" applyAlignment="1">
      <alignment horizontal="right" vertical="center" wrapText="1"/>
    </xf>
    <xf numFmtId="177" fontId="46" fillId="0" borderId="10" xfId="0" applyNumberFormat="1" applyFont="1" applyFill="1" applyBorder="1" applyAlignment="1">
      <alignment horizontal="right" vertical="center" wrapText="1"/>
    </xf>
    <xf numFmtId="0" fontId="28" fillId="0" borderId="23" xfId="0" applyFont="1" applyBorder="1" applyAlignment="1">
      <alignment vertical="center"/>
    </xf>
    <xf numFmtId="0" fontId="23" fillId="0" borderId="12" xfId="0" applyFont="1" applyFill="1" applyBorder="1" applyAlignment="1" applyProtection="1">
      <alignment vertical="center" wrapText="1"/>
      <protection locked="0"/>
    </xf>
    <xf numFmtId="0" fontId="29" fillId="0" borderId="24" xfId="0" applyFont="1" applyFill="1" applyBorder="1" applyAlignment="1" applyProtection="1">
      <alignment vertical="center" wrapText="1"/>
      <protection locked="0"/>
    </xf>
    <xf numFmtId="0" fontId="28" fillId="34" borderId="28" xfId="0" applyFont="1" applyFill="1" applyBorder="1" applyAlignment="1" applyProtection="1">
      <alignment horizontal="center" vertical="center"/>
      <protection locked="0"/>
    </xf>
    <xf numFmtId="0" fontId="28" fillId="33" borderId="28" xfId="0" applyFont="1" applyFill="1" applyBorder="1" applyAlignment="1" applyProtection="1">
      <alignment horizontal="center" vertical="center" wrapText="1"/>
      <protection locked="0"/>
    </xf>
    <xf numFmtId="14" fontId="28" fillId="33" borderId="28" xfId="0" applyNumberFormat="1" applyFont="1" applyFill="1" applyBorder="1" applyAlignment="1" applyProtection="1">
      <alignment horizontal="center" vertical="center" wrapText="1"/>
      <protection locked="0"/>
    </xf>
    <xf numFmtId="0" fontId="23" fillId="0" borderId="12" xfId="0" applyFont="1" applyBorder="1" applyAlignment="1">
      <alignment vertical="center" wrapText="1"/>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19" fillId="0" borderId="20" xfId="0" applyFont="1" applyBorder="1">
      <alignment vertical="center"/>
    </xf>
    <xf numFmtId="0" fontId="19" fillId="0" borderId="32" xfId="0" applyFont="1" applyBorder="1">
      <alignment vertical="center"/>
    </xf>
    <xf numFmtId="0" fontId="19" fillId="0" borderId="32" xfId="0" applyFont="1" applyBorder="1" applyAlignment="1">
      <alignment horizontal="center" vertical="center" shrinkToFit="1"/>
    </xf>
    <xf numFmtId="0" fontId="0" fillId="0" borderId="0" xfId="0" applyBorder="1" applyAlignment="1">
      <alignment vertical="center"/>
    </xf>
    <xf numFmtId="180" fontId="0" fillId="0" borderId="0" xfId="0" applyNumberFormat="1" applyBorder="1" applyAlignment="1">
      <alignment vertical="center"/>
    </xf>
    <xf numFmtId="176" fontId="19" fillId="0" borderId="0" xfId="0" applyNumberFormat="1" applyFont="1" applyBorder="1">
      <alignment vertical="center"/>
    </xf>
    <xf numFmtId="0" fontId="19" fillId="0" borderId="0" xfId="0" applyFont="1" applyAlignment="1">
      <alignment horizontal="center" vertical="center"/>
    </xf>
    <xf numFmtId="0" fontId="19" fillId="0" borderId="10" xfId="0" applyFont="1" applyBorder="1" applyAlignment="1">
      <alignment vertical="center" shrinkToFit="1"/>
    </xf>
    <xf numFmtId="0" fontId="27" fillId="0" borderId="32" xfId="0" applyFont="1" applyBorder="1" applyAlignment="1">
      <alignment vertical="center" shrinkToFit="1"/>
    </xf>
    <xf numFmtId="0" fontId="19" fillId="0" borderId="12" xfId="0" applyFont="1" applyBorder="1" applyAlignment="1">
      <alignment horizontal="center" vertical="center"/>
    </xf>
    <xf numFmtId="0" fontId="22" fillId="0" borderId="10" xfId="0" applyFont="1" applyFill="1" applyBorder="1" applyAlignment="1">
      <alignment horizontal="center" vertical="center" wrapText="1"/>
    </xf>
    <xf numFmtId="0" fontId="42" fillId="0" borderId="11" xfId="0" applyFont="1" applyFill="1" applyBorder="1" applyAlignment="1">
      <alignment horizontal="left" vertical="top" wrapText="1"/>
    </xf>
    <xf numFmtId="180" fontId="46" fillId="0" borderId="23" xfId="0" applyNumberFormat="1" applyFont="1" applyBorder="1" applyAlignment="1">
      <alignment vertical="center" wrapText="1"/>
    </xf>
    <xf numFmtId="180" fontId="47" fillId="0" borderId="23" xfId="0" applyNumberFormat="1" applyFont="1" applyBorder="1" applyAlignment="1">
      <alignment horizontal="right" vertical="center" wrapText="1"/>
    </xf>
    <xf numFmtId="0" fontId="36" fillId="0" borderId="10" xfId="0" applyFont="1" applyBorder="1" applyAlignment="1">
      <alignment vertical="center" wrapText="1"/>
    </xf>
    <xf numFmtId="180" fontId="36" fillId="0" borderId="10" xfId="0" applyNumberFormat="1"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36" fillId="0" borderId="20" xfId="0" applyFont="1" applyBorder="1" applyAlignment="1">
      <alignment vertical="center" wrapText="1"/>
    </xf>
    <xf numFmtId="180" fontId="36" fillId="0" borderId="20" xfId="0" applyNumberFormat="1" applyFont="1" applyBorder="1" applyAlignment="1">
      <alignment vertical="center" wrapText="1"/>
    </xf>
    <xf numFmtId="0" fontId="19" fillId="0" borderId="13" xfId="0" applyFont="1" applyBorder="1" applyAlignment="1">
      <alignment horizontal="right" vertical="center" shrinkToFit="1"/>
    </xf>
    <xf numFmtId="177" fontId="32" fillId="0" borderId="18" xfId="0" applyNumberFormat="1" applyFont="1" applyBorder="1" applyAlignment="1">
      <alignment horizontal="center" vertical="center"/>
    </xf>
    <xf numFmtId="0" fontId="49" fillId="0" borderId="10" xfId="0" applyFont="1" applyBorder="1" applyAlignment="1">
      <alignment vertical="center" wrapText="1"/>
    </xf>
    <xf numFmtId="0" fontId="49" fillId="0" borderId="33" xfId="0" applyFont="1" applyBorder="1" applyAlignment="1">
      <alignment vertical="center" wrapText="1"/>
    </xf>
    <xf numFmtId="0" fontId="49" fillId="0" borderId="34" xfId="0" applyFont="1" applyBorder="1" applyAlignment="1">
      <alignment vertical="center" wrapText="1"/>
    </xf>
    <xf numFmtId="0" fontId="49" fillId="0" borderId="11" xfId="0" applyFont="1" applyBorder="1" applyAlignment="1">
      <alignment vertical="center" wrapText="1"/>
    </xf>
    <xf numFmtId="0" fontId="49" fillId="0" borderId="10" xfId="0" applyFont="1" applyBorder="1" applyAlignment="1">
      <alignment horizontal="center" vertical="center" wrapText="1"/>
    </xf>
    <xf numFmtId="0" fontId="49" fillId="0" borderId="22" xfId="0" applyFont="1" applyBorder="1" applyAlignment="1">
      <alignment vertical="center" wrapText="1"/>
    </xf>
    <xf numFmtId="177" fontId="19" fillId="0" borderId="10" xfId="0" applyNumberFormat="1" applyFont="1" applyBorder="1" applyAlignment="1">
      <alignment horizontal="right" vertical="center" shrinkToFit="1"/>
    </xf>
    <xf numFmtId="0" fontId="19" fillId="0" borderId="37" xfId="0" applyFont="1" applyBorder="1">
      <alignment vertical="center"/>
    </xf>
    <xf numFmtId="0" fontId="36"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77" fontId="19" fillId="0" borderId="37" xfId="0" applyNumberFormat="1" applyFont="1" applyBorder="1" applyAlignment="1">
      <alignment horizontal="right" vertical="center" shrinkToFit="1"/>
    </xf>
    <xf numFmtId="180" fontId="36" fillId="0" borderId="37" xfId="0" applyNumberFormat="1" applyFont="1" applyBorder="1" applyAlignment="1">
      <alignment vertical="center" wrapText="1"/>
    </xf>
    <xf numFmtId="177" fontId="19" fillId="0" borderId="41" xfId="0" applyNumberFormat="1" applyFont="1" applyBorder="1" applyAlignment="1">
      <alignment horizontal="right" vertical="center" shrinkToFit="1"/>
    </xf>
    <xf numFmtId="177" fontId="19" fillId="0" borderId="18" xfId="0" applyNumberFormat="1" applyFont="1" applyBorder="1" applyAlignment="1">
      <alignment horizontal="right" vertical="center" shrinkToFit="1"/>
    </xf>
    <xf numFmtId="177" fontId="19" fillId="0" borderId="42" xfId="0" applyNumberFormat="1" applyFont="1" applyBorder="1" applyAlignment="1">
      <alignment horizontal="right" vertical="center" shrinkToFit="1"/>
    </xf>
    <xf numFmtId="0" fontId="22" fillId="0" borderId="10"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42" fillId="0" borderId="10" xfId="0" applyFont="1" applyFill="1" applyBorder="1" applyAlignment="1">
      <alignment horizontal="center" vertical="center" wrapText="1"/>
    </xf>
    <xf numFmtId="0" fontId="25" fillId="0" borderId="0" xfId="0" applyFont="1" applyBorder="1" applyAlignment="1">
      <alignment horizontal="center" vertical="center" wrapText="1"/>
    </xf>
    <xf numFmtId="0" fontId="50" fillId="0" borderId="10" xfId="0" applyFont="1" applyFill="1" applyBorder="1" applyAlignment="1">
      <alignment horizontal="center" vertical="center" wrapText="1"/>
    </xf>
    <xf numFmtId="177" fontId="19" fillId="0" borderId="10" xfId="0" applyNumberFormat="1" applyFont="1" applyBorder="1">
      <alignment vertical="center"/>
    </xf>
    <xf numFmtId="0" fontId="46" fillId="0" borderId="10" xfId="0" applyFont="1" applyFill="1" applyBorder="1" applyAlignment="1">
      <alignment horizontal="center" vertical="center" wrapText="1"/>
    </xf>
    <xf numFmtId="0" fontId="19" fillId="0" borderId="12" xfId="0" applyFont="1" applyBorder="1">
      <alignment vertical="center"/>
    </xf>
    <xf numFmtId="0" fontId="0" fillId="0" borderId="10" xfId="0" applyBorder="1" applyAlignment="1">
      <alignment horizontal="left" vertical="center" shrinkToFit="1"/>
    </xf>
    <xf numFmtId="177" fontId="0" fillId="0" borderId="10" xfId="0" applyNumberFormat="1" applyBorder="1" applyAlignment="1">
      <alignment vertical="center"/>
    </xf>
    <xf numFmtId="0" fontId="25" fillId="0" borderId="0" xfId="0" applyFont="1" applyFill="1" applyBorder="1" applyAlignment="1">
      <alignment vertical="top" wrapText="1"/>
    </xf>
    <xf numFmtId="0" fontId="0" fillId="0" borderId="48" xfId="0" applyBorder="1" applyAlignment="1">
      <alignment horizontal="center" vertical="center"/>
    </xf>
    <xf numFmtId="180" fontId="19" fillId="0" borderId="49" xfId="0" applyNumberFormat="1" applyFont="1" applyBorder="1">
      <alignment vertical="center"/>
    </xf>
    <xf numFmtId="180" fontId="19" fillId="0" borderId="51" xfId="0" applyNumberFormat="1" applyFont="1" applyBorder="1">
      <alignment vertical="center"/>
    </xf>
    <xf numFmtId="0" fontId="19" fillId="0" borderId="46" xfId="0" applyFont="1" applyBorder="1">
      <alignment vertical="center"/>
    </xf>
    <xf numFmtId="180" fontId="0" fillId="0" borderId="46" xfId="0" applyNumberFormat="1" applyBorder="1" applyAlignment="1">
      <alignment vertical="center"/>
    </xf>
    <xf numFmtId="177" fontId="46" fillId="0" borderId="46" xfId="0" applyNumberFormat="1" applyFont="1" applyFill="1" applyBorder="1" applyAlignment="1">
      <alignment horizontal="right" vertical="center" wrapText="1"/>
    </xf>
    <xf numFmtId="0" fontId="22" fillId="0" borderId="48" xfId="0" applyFont="1" applyFill="1" applyBorder="1" applyAlignment="1">
      <alignment horizontal="center" vertical="center" wrapText="1"/>
    </xf>
    <xf numFmtId="180" fontId="19" fillId="0" borderId="49" xfId="0" applyNumberFormat="1" applyFont="1" applyBorder="1" applyAlignment="1">
      <alignment horizontal="right" vertical="center"/>
    </xf>
    <xf numFmtId="180" fontId="19" fillId="0" borderId="50" xfId="0" applyNumberFormat="1" applyFont="1" applyBorder="1" applyAlignment="1">
      <alignment horizontal="right" vertical="center"/>
    </xf>
    <xf numFmtId="180" fontId="19" fillId="0" borderId="52" xfId="0" applyNumberFormat="1" applyFont="1" applyBorder="1" applyAlignment="1">
      <alignment horizontal="right" vertical="center"/>
    </xf>
    <xf numFmtId="0" fontId="19" fillId="0" borderId="11" xfId="0" applyFont="1" applyBorder="1">
      <alignment vertical="center"/>
    </xf>
    <xf numFmtId="0" fontId="23" fillId="34" borderId="28" xfId="0" quotePrefix="1" applyFont="1" applyFill="1" applyBorder="1" applyAlignment="1" applyProtection="1">
      <alignment horizontal="center" vertical="center" wrapText="1"/>
      <protection locked="0"/>
    </xf>
    <xf numFmtId="0" fontId="20" fillId="0" borderId="0" xfId="0" applyFont="1" applyAlignment="1">
      <alignment vertical="center" wrapText="1"/>
    </xf>
    <xf numFmtId="0" fontId="47" fillId="0" borderId="0" xfId="0" applyFont="1" applyBorder="1" applyAlignment="1">
      <alignment vertical="center"/>
    </xf>
    <xf numFmtId="177" fontId="19" fillId="0" borderId="0" xfId="0" applyNumberFormat="1" applyFont="1" applyBorder="1">
      <alignment vertical="center"/>
    </xf>
    <xf numFmtId="176" fontId="47" fillId="0" borderId="0" xfId="0" applyNumberFormat="1" applyFont="1" applyFill="1" applyBorder="1" applyAlignment="1">
      <alignment horizontal="right" vertical="center" wrapText="1"/>
    </xf>
    <xf numFmtId="0" fontId="0" fillId="0" borderId="0" xfId="0" applyBorder="1" applyAlignment="1">
      <alignment horizontal="right" vertical="center"/>
    </xf>
    <xf numFmtId="0" fontId="19" fillId="0" borderId="10" xfId="0" applyFont="1" applyFill="1" applyBorder="1" applyAlignment="1">
      <alignment horizontal="left" vertical="center"/>
    </xf>
    <xf numFmtId="0" fontId="19" fillId="0" borderId="28" xfId="0" applyFont="1" applyBorder="1">
      <alignment vertical="center"/>
    </xf>
    <xf numFmtId="0" fontId="28" fillId="0" borderId="10" xfId="0" applyFont="1" applyBorder="1" applyAlignment="1">
      <alignment horizontal="center" vertical="center" shrinkToFit="1"/>
    </xf>
    <xf numFmtId="0" fontId="21" fillId="0" borderId="23" xfId="0" applyFont="1" applyBorder="1" applyAlignment="1">
      <alignment horizontal="right" vertical="center" wrapText="1"/>
    </xf>
    <xf numFmtId="0" fontId="19" fillId="0" borderId="37" xfId="0" applyFont="1" applyBorder="1" applyAlignment="1">
      <alignment horizontal="right" vertical="center" shrinkToFit="1"/>
    </xf>
    <xf numFmtId="0" fontId="19" fillId="0" borderId="42" xfId="0" applyFont="1" applyBorder="1" applyAlignment="1">
      <alignment horizontal="right" vertical="center" shrinkToFit="1"/>
    </xf>
    <xf numFmtId="0" fontId="46" fillId="0" borderId="0" xfId="0" applyFont="1" applyFill="1" applyBorder="1" applyAlignment="1">
      <alignment vertical="center" wrapText="1"/>
    </xf>
    <xf numFmtId="0" fontId="53" fillId="0" borderId="0" xfId="0" applyFont="1">
      <alignment vertical="center"/>
    </xf>
    <xf numFmtId="0" fontId="47" fillId="0" borderId="0" xfId="0" applyFont="1" applyAlignment="1">
      <alignment vertical="center"/>
    </xf>
    <xf numFmtId="0" fontId="19" fillId="0" borderId="20" xfId="0" applyFont="1" applyBorder="1" applyAlignment="1">
      <alignment horizontal="right" vertical="center"/>
    </xf>
    <xf numFmtId="183" fontId="28" fillId="34" borderId="28" xfId="0" applyNumberFormat="1" applyFont="1" applyFill="1" applyBorder="1" applyAlignment="1" applyProtection="1">
      <alignment horizontal="center" vertical="center"/>
      <protection locked="0"/>
    </xf>
    <xf numFmtId="0" fontId="19" fillId="0" borderId="14" xfId="0" applyFont="1" applyBorder="1">
      <alignment vertical="center"/>
    </xf>
    <xf numFmtId="0" fontId="19" fillId="0" borderId="17" xfId="0" applyFont="1" applyBorder="1">
      <alignment vertical="center"/>
    </xf>
    <xf numFmtId="0" fontId="19" fillId="0" borderId="62" xfId="0" applyFont="1" applyBorder="1">
      <alignment vertical="center"/>
    </xf>
    <xf numFmtId="0" fontId="21" fillId="33" borderId="28" xfId="0" applyFont="1" applyFill="1" applyBorder="1" applyAlignment="1" applyProtection="1">
      <alignment horizontal="center" vertical="center" wrapText="1"/>
      <protection locked="0"/>
    </xf>
    <xf numFmtId="176" fontId="46" fillId="0" borderId="10" xfId="0" applyNumberFormat="1" applyFont="1" applyFill="1" applyBorder="1" applyAlignment="1">
      <alignment horizontal="right" vertical="center" wrapText="1"/>
    </xf>
    <xf numFmtId="0" fontId="29" fillId="0" borderId="10" xfId="0" applyFont="1" applyFill="1" applyBorder="1" applyAlignment="1" applyProtection="1">
      <alignment vertical="center" wrapText="1"/>
    </xf>
    <xf numFmtId="0" fontId="54" fillId="0" borderId="10" xfId="0" applyFont="1" applyFill="1" applyBorder="1" applyAlignment="1" applyProtection="1">
      <alignment horizontal="center" vertical="center" wrapText="1"/>
    </xf>
    <xf numFmtId="0" fontId="46" fillId="0" borderId="0" xfId="0" applyFont="1" applyBorder="1" applyAlignment="1">
      <alignment vertical="center" wrapText="1"/>
    </xf>
    <xf numFmtId="180" fontId="46" fillId="0" borderId="25" xfId="0" applyNumberFormat="1" applyFont="1" applyBorder="1" applyAlignment="1">
      <alignment vertical="center" wrapText="1"/>
    </xf>
    <xf numFmtId="180" fontId="47" fillId="0" borderId="0" xfId="0" applyNumberFormat="1" applyFont="1" applyBorder="1" applyAlignment="1">
      <alignment horizontal="right" vertical="center" wrapText="1"/>
    </xf>
    <xf numFmtId="0" fontId="19" fillId="0" borderId="65" xfId="0" applyFont="1" applyBorder="1">
      <alignment vertical="center"/>
    </xf>
    <xf numFmtId="0" fontId="19" fillId="0" borderId="37" xfId="0" applyFont="1" applyBorder="1" applyAlignment="1">
      <alignment horizontal="right" vertical="center"/>
    </xf>
    <xf numFmtId="0" fontId="0" fillId="0" borderId="12" xfId="0" applyBorder="1" applyAlignment="1">
      <alignment vertical="center"/>
    </xf>
    <xf numFmtId="0" fontId="0" fillId="0" borderId="25" xfId="0" applyBorder="1" applyAlignment="1">
      <alignment vertical="center"/>
    </xf>
    <xf numFmtId="0" fontId="47" fillId="0" borderId="46" xfId="0" applyFont="1" applyFill="1" applyBorder="1" applyAlignment="1">
      <alignment horizontal="right" vertical="center" wrapText="1"/>
    </xf>
    <xf numFmtId="176" fontId="47" fillId="0" borderId="46" xfId="0" applyNumberFormat="1" applyFont="1" applyFill="1" applyBorder="1" applyAlignment="1">
      <alignment horizontal="right" vertical="center" wrapText="1"/>
    </xf>
    <xf numFmtId="0" fontId="28" fillId="0" borderId="26" xfId="0" applyFont="1" applyBorder="1" applyAlignment="1">
      <alignment horizontal="center" vertical="center" shrinkToFit="1"/>
    </xf>
    <xf numFmtId="180" fontId="46" fillId="0" borderId="0" xfId="0" applyNumberFormat="1" applyFont="1" applyBorder="1" applyAlignment="1">
      <alignment vertical="center" wrapText="1"/>
    </xf>
    <xf numFmtId="0" fontId="29" fillId="0" borderId="18" xfId="0" applyFont="1" applyFill="1" applyBorder="1" applyAlignment="1" applyProtection="1">
      <alignment vertical="center" wrapText="1"/>
    </xf>
    <xf numFmtId="0" fontId="54" fillId="0" borderId="18" xfId="0" applyFont="1" applyFill="1" applyBorder="1" applyAlignment="1" applyProtection="1">
      <alignment horizontal="center" vertical="center" wrapText="1"/>
    </xf>
    <xf numFmtId="0" fontId="58" fillId="0" borderId="10" xfId="0" applyFont="1" applyBorder="1" applyAlignment="1">
      <alignment horizontal="center" vertical="center" wrapText="1"/>
    </xf>
    <xf numFmtId="176" fontId="23" fillId="0" borderId="70" xfId="0" applyNumberFormat="1" applyFont="1" applyFill="1" applyBorder="1" applyAlignment="1">
      <alignment horizontal="right" vertical="center" wrapText="1"/>
    </xf>
    <xf numFmtId="177" fontId="19" fillId="0" borderId="23" xfId="0" applyNumberFormat="1" applyFont="1" applyBorder="1">
      <alignment vertical="center"/>
    </xf>
    <xf numFmtId="177" fontId="19" fillId="0" borderId="23" xfId="0" applyNumberFormat="1" applyFont="1" applyBorder="1" applyAlignment="1">
      <alignment horizontal="right" vertical="center"/>
    </xf>
    <xf numFmtId="177" fontId="19" fillId="0" borderId="0" xfId="0" applyNumberFormat="1" applyFont="1" applyBorder="1" applyAlignment="1">
      <alignment horizontal="right" vertical="center"/>
    </xf>
    <xf numFmtId="0" fontId="50" fillId="0" borderId="0" xfId="0" applyFont="1" applyFill="1" applyBorder="1" applyAlignment="1">
      <alignment horizontal="center" vertical="center" wrapText="1"/>
    </xf>
    <xf numFmtId="181" fontId="19" fillId="0" borderId="55" xfId="0" applyNumberFormat="1" applyFont="1" applyBorder="1">
      <alignment vertical="center"/>
    </xf>
    <xf numFmtId="181" fontId="47" fillId="0" borderId="37" xfId="0" applyNumberFormat="1" applyFont="1" applyFill="1" applyBorder="1" applyAlignment="1">
      <alignment horizontal="right" vertical="center" wrapText="1"/>
    </xf>
    <xf numFmtId="181" fontId="19" fillId="0" borderId="18" xfId="0" applyNumberFormat="1" applyFont="1" applyBorder="1" applyAlignment="1">
      <alignment vertical="center"/>
    </xf>
    <xf numFmtId="181" fontId="19" fillId="0" borderId="57" xfId="0" applyNumberFormat="1" applyFont="1" applyBorder="1">
      <alignment vertical="center"/>
    </xf>
    <xf numFmtId="181" fontId="47" fillId="0" borderId="56" xfId="0" applyNumberFormat="1" applyFont="1" applyFill="1" applyBorder="1" applyAlignment="1">
      <alignment horizontal="right" vertical="center" wrapText="1"/>
    </xf>
    <xf numFmtId="181" fontId="19" fillId="0" borderId="58" xfId="0" applyNumberFormat="1" applyFont="1" applyBorder="1" applyAlignment="1">
      <alignment vertical="center"/>
    </xf>
    <xf numFmtId="181" fontId="19" fillId="0" borderId="59" xfId="0" applyNumberFormat="1" applyFont="1" applyBorder="1">
      <alignment vertical="center"/>
    </xf>
    <xf numFmtId="181" fontId="47" fillId="0" borderId="42" xfId="0" applyNumberFormat="1" applyFont="1" applyFill="1" applyBorder="1" applyAlignment="1">
      <alignment horizontal="right" vertical="center" wrapText="1"/>
    </xf>
    <xf numFmtId="181" fontId="0" fillId="0" borderId="42" xfId="0" applyNumberFormat="1" applyBorder="1" applyAlignment="1">
      <alignment horizontal="right" vertical="center"/>
    </xf>
    <xf numFmtId="0" fontId="59" fillId="0" borderId="21" xfId="0" applyFont="1" applyFill="1" applyBorder="1" applyAlignment="1" applyProtection="1">
      <alignment horizontal="left" vertical="center" wrapText="1"/>
    </xf>
    <xf numFmtId="0" fontId="60" fillId="0" borderId="18" xfId="0" applyFont="1" applyBorder="1" applyAlignment="1">
      <alignment horizontal="left" vertical="center" wrapText="1"/>
    </xf>
    <xf numFmtId="177" fontId="47" fillId="0" borderId="79" xfId="0" applyNumberFormat="1" applyFont="1" applyFill="1" applyBorder="1" applyAlignment="1">
      <alignment horizontal="right" vertical="center" wrapText="1"/>
    </xf>
    <xf numFmtId="1" fontId="21" fillId="33" borderId="28" xfId="0" applyNumberFormat="1" applyFont="1" applyFill="1" applyBorder="1" applyAlignment="1" applyProtection="1">
      <alignment horizontal="center" vertical="center" wrapText="1"/>
      <protection locked="0"/>
    </xf>
    <xf numFmtId="0" fontId="51" fillId="0" borderId="0" xfId="0" applyFont="1" applyBorder="1" applyAlignment="1">
      <alignment horizontal="right" vertical="center"/>
    </xf>
    <xf numFmtId="0" fontId="19" fillId="0" borderId="0" xfId="0" applyFont="1" applyAlignment="1" applyProtection="1">
      <alignment vertical="center"/>
    </xf>
    <xf numFmtId="0" fontId="0" fillId="0" borderId="10" xfId="0" applyFont="1" applyFill="1" applyBorder="1" applyAlignment="1" applyProtection="1">
      <alignment vertical="center"/>
    </xf>
    <xf numFmtId="0" fontId="0" fillId="0" borderId="0" xfId="0" applyFont="1" applyFill="1" applyBorder="1" applyAlignment="1" applyProtection="1">
      <alignment vertical="center"/>
    </xf>
    <xf numFmtId="179" fontId="19" fillId="0" borderId="10" xfId="0" applyNumberFormat="1" applyFont="1" applyBorder="1" applyAlignment="1" applyProtection="1">
      <alignment horizontal="left" vertical="center"/>
    </xf>
    <xf numFmtId="182" fontId="19" fillId="0" borderId="10" xfId="0" applyNumberFormat="1" applyFont="1" applyBorder="1" applyAlignment="1" applyProtection="1">
      <alignment horizontal="left" vertical="center"/>
    </xf>
    <xf numFmtId="0" fontId="0" fillId="34" borderId="10" xfId="0" applyFill="1" applyBorder="1" applyAlignment="1" applyProtection="1">
      <alignment horizontal="left" vertical="center"/>
      <protection locked="0"/>
    </xf>
    <xf numFmtId="0" fontId="19" fillId="0" borderId="10" xfId="0" applyFont="1" applyBorder="1" applyAlignment="1" applyProtection="1">
      <alignment horizontal="center" vertical="center"/>
    </xf>
    <xf numFmtId="0" fontId="19" fillId="0" borderId="20" xfId="0" applyFont="1" applyBorder="1" applyAlignment="1" applyProtection="1">
      <alignment horizontal="left" vertical="center" wrapText="1"/>
    </xf>
    <xf numFmtId="179" fontId="19" fillId="0" borderId="10" xfId="0" applyNumberFormat="1" applyFont="1" applyFill="1" applyBorder="1" applyAlignment="1" applyProtection="1">
      <alignment vertical="center"/>
    </xf>
    <xf numFmtId="0" fontId="24" fillId="0" borderId="12" xfId="0" applyFont="1" applyFill="1" applyBorder="1" applyAlignment="1" applyProtection="1">
      <alignment vertical="center" wrapText="1"/>
      <protection locked="0"/>
    </xf>
    <xf numFmtId="0" fontId="59" fillId="0" borderId="12" xfId="0" applyFont="1" applyFill="1" applyBorder="1" applyAlignment="1" applyProtection="1">
      <alignment horizontal="left" vertical="center" wrapText="1"/>
      <protection locked="0"/>
    </xf>
    <xf numFmtId="0" fontId="28" fillId="0" borderId="0" xfId="0" applyFont="1" applyAlignment="1">
      <alignment vertical="center" wrapText="1"/>
    </xf>
    <xf numFmtId="0" fontId="28" fillId="0" borderId="78" xfId="0" applyFont="1" applyFill="1" applyBorder="1" applyAlignment="1" applyProtection="1">
      <alignment vertical="center" wrapText="1"/>
      <protection locked="0"/>
    </xf>
    <xf numFmtId="0" fontId="59" fillId="0" borderId="24" xfId="0" applyFont="1" applyFill="1" applyBorder="1" applyAlignment="1" applyProtection="1">
      <alignment vertical="center" wrapText="1"/>
      <protection locked="0"/>
    </xf>
    <xf numFmtId="0" fontId="60" fillId="0" borderId="43" xfId="0" applyFont="1" applyBorder="1" applyAlignment="1">
      <alignment vertical="center" wrapText="1"/>
    </xf>
    <xf numFmtId="0" fontId="59" fillId="0" borderId="12" xfId="0" applyFont="1" applyFill="1" applyBorder="1" applyAlignment="1" applyProtection="1">
      <alignment vertical="center" wrapText="1"/>
    </xf>
    <xf numFmtId="0" fontId="24" fillId="33" borderId="28" xfId="0" applyFont="1" applyFill="1" applyBorder="1" applyAlignment="1" applyProtection="1">
      <alignment horizontal="center" vertical="center" wrapText="1"/>
      <protection locked="0"/>
    </xf>
    <xf numFmtId="0" fontId="24" fillId="0" borderId="10" xfId="0" applyFont="1" applyBorder="1" applyAlignment="1">
      <alignment vertical="center" wrapText="1"/>
    </xf>
    <xf numFmtId="0" fontId="59" fillId="0" borderId="18" xfId="0" applyFont="1" applyFill="1" applyBorder="1" applyAlignment="1" applyProtection="1">
      <alignment vertical="center" wrapText="1"/>
    </xf>
    <xf numFmtId="0" fontId="59" fillId="0" borderId="64" xfId="0" applyFont="1" applyBorder="1" applyAlignment="1">
      <alignment horizontal="center" vertical="center"/>
    </xf>
    <xf numFmtId="0" fontId="59" fillId="0" borderId="20" xfId="0" applyFont="1" applyFill="1" applyBorder="1" applyAlignment="1" applyProtection="1">
      <alignment vertical="center" wrapText="1"/>
    </xf>
    <xf numFmtId="0" fontId="59" fillId="0" borderId="10" xfId="0" applyFont="1" applyBorder="1" applyAlignment="1">
      <alignment horizontal="center" vertical="center"/>
    </xf>
    <xf numFmtId="0" fontId="21" fillId="0" borderId="12" xfId="0" applyFont="1" applyFill="1" applyBorder="1" applyAlignment="1" applyProtection="1">
      <alignment vertical="center" wrapText="1"/>
      <protection locked="0"/>
    </xf>
    <xf numFmtId="0" fontId="24" fillId="34" borderId="28" xfId="0" applyFont="1" applyFill="1" applyBorder="1" applyAlignment="1" applyProtection="1">
      <alignment horizontal="center" vertical="center" shrinkToFit="1"/>
      <protection locked="0"/>
    </xf>
    <xf numFmtId="0" fontId="19" fillId="0" borderId="10" xfId="0" applyFont="1" applyBorder="1" applyAlignment="1">
      <alignment horizontal="center" vertical="center" wrapText="1"/>
    </xf>
    <xf numFmtId="0" fontId="19" fillId="0" borderId="22" xfId="0" applyFont="1" applyBorder="1" applyAlignment="1">
      <alignment horizontal="left" vertical="center" shrinkToFit="1"/>
    </xf>
    <xf numFmtId="0" fontId="27" fillId="0" borderId="10" xfId="0" applyFont="1" applyBorder="1" applyAlignment="1">
      <alignment horizontal="center" vertical="center" wrapText="1"/>
    </xf>
    <xf numFmtId="0" fontId="27" fillId="0" borderId="43" xfId="0" applyFont="1" applyBorder="1" applyAlignment="1">
      <alignment horizontal="center" vertical="center" wrapText="1"/>
    </xf>
    <xf numFmtId="177" fontId="19" fillId="0" borderId="43" xfId="0" applyNumberFormat="1" applyFont="1" applyBorder="1">
      <alignment vertical="center"/>
    </xf>
    <xf numFmtId="180" fontId="47" fillId="0" borderId="37" xfId="0" applyNumberFormat="1" applyFont="1" applyBorder="1" applyAlignment="1">
      <alignment vertical="center" wrapText="1"/>
    </xf>
    <xf numFmtId="177" fontId="19" fillId="0" borderId="37" xfId="0" applyNumberFormat="1" applyFont="1" applyBorder="1">
      <alignment vertical="center"/>
    </xf>
    <xf numFmtId="177" fontId="19" fillId="0" borderId="82" xfId="0" applyNumberFormat="1" applyFont="1" applyBorder="1">
      <alignment vertical="center"/>
    </xf>
    <xf numFmtId="180" fontId="36" fillId="0" borderId="42" xfId="0" applyNumberFormat="1" applyFont="1" applyBorder="1" applyAlignment="1">
      <alignment vertical="center" wrapText="1"/>
    </xf>
    <xf numFmtId="180" fontId="47" fillId="0" borderId="42" xfId="0" applyNumberFormat="1" applyFont="1" applyBorder="1" applyAlignment="1">
      <alignment vertical="center" wrapText="1"/>
    </xf>
    <xf numFmtId="177" fontId="19" fillId="0" borderId="42" xfId="0" applyNumberFormat="1" applyFont="1" applyBorder="1">
      <alignment vertical="center"/>
    </xf>
    <xf numFmtId="177" fontId="19" fillId="0" borderId="83" xfId="0" applyNumberFormat="1" applyFont="1" applyBorder="1">
      <alignment vertical="center"/>
    </xf>
    <xf numFmtId="0" fontId="19" fillId="0" borderId="56" xfId="0" applyFont="1" applyBorder="1">
      <alignment vertical="center"/>
    </xf>
    <xf numFmtId="0" fontId="19" fillId="0" borderId="42" xfId="0" applyFont="1" applyBorder="1">
      <alignment vertical="center"/>
    </xf>
    <xf numFmtId="0" fontId="36" fillId="0" borderId="56" xfId="0" applyFont="1" applyBorder="1" applyAlignment="1">
      <alignment vertical="center" wrapText="1"/>
    </xf>
    <xf numFmtId="0" fontId="19" fillId="0" borderId="84" xfId="0" applyFont="1" applyBorder="1" applyAlignment="1">
      <alignment horizontal="center" vertical="center" shrinkToFit="1"/>
    </xf>
    <xf numFmtId="0" fontId="19" fillId="0" borderId="85" xfId="0" applyFont="1" applyBorder="1" applyAlignment="1">
      <alignment horizontal="right" vertical="center" shrinkToFit="1"/>
    </xf>
    <xf numFmtId="0" fontId="19" fillId="0" borderId="86" xfId="0" applyFont="1" applyBorder="1" applyAlignment="1">
      <alignment horizontal="right" vertical="center" shrinkToFit="1"/>
    </xf>
    <xf numFmtId="0" fontId="36" fillId="0" borderId="42" xfId="0" applyFont="1" applyBorder="1" applyAlignment="1">
      <alignment vertical="center" wrapText="1"/>
    </xf>
    <xf numFmtId="0" fontId="19" fillId="0" borderId="87" xfId="0" applyFont="1" applyBorder="1" applyAlignment="1">
      <alignment horizontal="center" vertical="center" shrinkToFit="1"/>
    </xf>
    <xf numFmtId="0" fontId="19" fillId="0" borderId="88" xfId="0" applyFont="1" applyBorder="1" applyAlignment="1">
      <alignment horizontal="right" vertical="center" shrinkToFit="1"/>
    </xf>
    <xf numFmtId="0" fontId="19" fillId="0" borderId="89" xfId="0" applyFont="1" applyBorder="1" applyAlignment="1">
      <alignment horizontal="right" vertical="center" shrinkToFit="1"/>
    </xf>
    <xf numFmtId="177" fontId="19" fillId="0" borderId="90" xfId="0" applyNumberFormat="1" applyFont="1" applyBorder="1" applyAlignment="1">
      <alignment horizontal="right" vertical="center" shrinkToFit="1"/>
    </xf>
    <xf numFmtId="177" fontId="19" fillId="0" borderId="56" xfId="0" applyNumberFormat="1" applyFont="1" applyBorder="1" applyAlignment="1">
      <alignment horizontal="right" vertical="center" shrinkToFit="1"/>
    </xf>
    <xf numFmtId="177" fontId="19" fillId="0" borderId="91" xfId="0" applyNumberFormat="1" applyFont="1" applyBorder="1" applyAlignment="1">
      <alignment horizontal="right" vertical="center" shrinkToFit="1"/>
    </xf>
    <xf numFmtId="180" fontId="36" fillId="0" borderId="56" xfId="0" applyNumberFormat="1" applyFont="1" applyBorder="1" applyAlignment="1">
      <alignment vertical="center" wrapText="1"/>
    </xf>
    <xf numFmtId="177" fontId="19" fillId="0" borderId="56" xfId="0" applyNumberFormat="1" applyFont="1" applyBorder="1">
      <alignment vertical="center"/>
    </xf>
    <xf numFmtId="177" fontId="19" fillId="0" borderId="92" xfId="0" applyNumberFormat="1" applyFont="1" applyBorder="1">
      <alignment vertical="center"/>
    </xf>
    <xf numFmtId="0" fontId="61" fillId="0" borderId="10" xfId="0" applyFont="1" applyBorder="1" applyAlignment="1">
      <alignment horizontal="center" vertical="center" wrapText="1"/>
    </xf>
    <xf numFmtId="0" fontId="56" fillId="0" borderId="20" xfId="0" applyFont="1" applyBorder="1" applyAlignment="1">
      <alignment horizontal="center" vertical="center"/>
    </xf>
    <xf numFmtId="0" fontId="41" fillId="0" borderId="0" xfId="0" applyFont="1" applyAlignment="1">
      <alignment horizontal="left" vertical="center"/>
    </xf>
    <xf numFmtId="177" fontId="26" fillId="0" borderId="10" xfId="0" applyNumberFormat="1" applyFont="1" applyFill="1" applyBorder="1" applyAlignment="1">
      <alignment vertical="center" wrapText="1"/>
    </xf>
    <xf numFmtId="177" fontId="26" fillId="0" borderId="10" xfId="0" applyNumberFormat="1" applyFont="1" applyFill="1" applyBorder="1" applyAlignment="1">
      <alignment horizontal="right" vertical="center" wrapText="1"/>
    </xf>
    <xf numFmtId="0" fontId="44" fillId="0" borderId="0" xfId="0" applyFont="1" applyAlignment="1">
      <alignment vertical="center"/>
    </xf>
    <xf numFmtId="176" fontId="26" fillId="0" borderId="10" xfId="0" applyNumberFormat="1" applyFont="1" applyBorder="1" applyAlignment="1">
      <alignment horizontal="right" vertical="center" wrapText="1"/>
    </xf>
    <xf numFmtId="176" fontId="26" fillId="0" borderId="10" xfId="0" applyNumberFormat="1" applyFont="1" applyFill="1" applyBorder="1" applyAlignment="1">
      <alignment horizontal="right" vertical="center" wrapText="1"/>
    </xf>
    <xf numFmtId="0" fontId="26" fillId="33" borderId="30" xfId="0" applyFont="1" applyFill="1" applyBorder="1" applyAlignment="1" applyProtection="1">
      <alignment horizontal="center" vertical="center" wrapText="1"/>
      <protection locked="0"/>
    </xf>
    <xf numFmtId="0" fontId="62" fillId="34" borderId="28" xfId="0" applyFont="1" applyFill="1" applyBorder="1" applyAlignment="1" applyProtection="1">
      <alignment horizontal="center" vertical="center" shrinkToFit="1"/>
      <protection locked="0"/>
    </xf>
    <xf numFmtId="177" fontId="26" fillId="0" borderId="18" xfId="0" applyNumberFormat="1" applyFont="1" applyBorder="1" applyAlignment="1">
      <alignment horizontal="right" vertical="center" wrapText="1"/>
    </xf>
    <xf numFmtId="177" fontId="26" fillId="0" borderId="18" xfId="0" applyNumberFormat="1" applyFont="1" applyFill="1" applyBorder="1" applyAlignment="1">
      <alignment horizontal="right" vertical="center" wrapText="1"/>
    </xf>
    <xf numFmtId="0" fontId="19" fillId="0" borderId="18"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0" fontId="19" fillId="0" borderId="18" xfId="0" applyFont="1" applyBorder="1" applyAlignment="1">
      <alignment horizontal="left" vertical="center"/>
    </xf>
    <xf numFmtId="0" fontId="19" fillId="0" borderId="20" xfId="0" applyFont="1" applyBorder="1" applyAlignment="1">
      <alignment horizontal="left" vertical="center"/>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58" fontId="19" fillId="34" borderId="12" xfId="0" applyNumberFormat="1" applyFont="1" applyFill="1" applyBorder="1" applyAlignment="1" applyProtection="1">
      <alignment horizontal="left" vertical="center"/>
      <protection locked="0"/>
    </xf>
    <xf numFmtId="0" fontId="19" fillId="34" borderId="11" xfId="0" applyFont="1" applyFill="1" applyBorder="1" applyAlignment="1" applyProtection="1">
      <alignment horizontal="left" vertical="center"/>
      <protection locked="0"/>
    </xf>
    <xf numFmtId="0" fontId="19" fillId="34" borderId="12" xfId="0" applyFont="1" applyFill="1" applyBorder="1" applyAlignment="1" applyProtection="1">
      <alignment vertical="center" wrapText="1"/>
      <protection locked="0"/>
    </xf>
    <xf numFmtId="0" fontId="19" fillId="34" borderId="11" xfId="0" applyFont="1" applyFill="1" applyBorder="1" applyAlignment="1" applyProtection="1">
      <alignment vertical="center" wrapText="1"/>
      <protection locked="0"/>
    </xf>
    <xf numFmtId="0" fontId="19" fillId="34" borderId="12" xfId="0" applyFont="1" applyFill="1" applyBorder="1" applyAlignment="1" applyProtection="1">
      <alignment vertical="center"/>
      <protection locked="0"/>
    </xf>
    <xf numFmtId="0" fontId="19" fillId="34" borderId="11" xfId="0" applyFont="1" applyFill="1" applyBorder="1" applyAlignment="1" applyProtection="1">
      <alignment vertical="center"/>
      <protection locked="0"/>
    </xf>
    <xf numFmtId="0" fontId="19" fillId="0" borderId="12" xfId="0" applyFont="1" applyBorder="1" applyAlignment="1">
      <alignment horizontal="center" vertical="center"/>
    </xf>
    <xf numFmtId="0" fontId="19" fillId="0" borderId="11" xfId="0" applyFont="1" applyBorder="1" applyAlignment="1">
      <alignment horizontal="center" vertical="center"/>
    </xf>
    <xf numFmtId="0" fontId="0" fillId="34" borderId="12" xfId="0" applyFill="1" applyBorder="1" applyAlignment="1" applyProtection="1">
      <alignment horizontal="left" vertical="center"/>
      <protection locked="0"/>
    </xf>
    <xf numFmtId="0" fontId="0" fillId="34" borderId="11" xfId="0" applyFill="1" applyBorder="1" applyAlignment="1" applyProtection="1">
      <alignment horizontal="left" vertical="center"/>
      <protection locked="0"/>
    </xf>
    <xf numFmtId="0" fontId="19" fillId="34" borderId="12" xfId="0" applyFont="1" applyFill="1" applyBorder="1" applyAlignment="1" applyProtection="1">
      <alignment horizontal="left" vertical="center" wrapText="1"/>
      <protection locked="0"/>
    </xf>
    <xf numFmtId="0" fontId="19" fillId="34" borderId="11" xfId="0" applyFont="1" applyFill="1" applyBorder="1" applyAlignment="1" applyProtection="1">
      <alignment horizontal="left" vertical="center" wrapText="1"/>
      <protection locked="0"/>
    </xf>
    <xf numFmtId="0" fontId="22" fillId="0" borderId="0" xfId="0" applyFont="1" applyAlignment="1">
      <alignment horizontal="left" vertical="center"/>
    </xf>
    <xf numFmtId="0" fontId="37"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left" vertical="center"/>
    </xf>
    <xf numFmtId="0" fontId="22" fillId="0" borderId="0" xfId="0" applyFont="1" applyAlignment="1">
      <alignment horizontal="left" vertical="center" wrapText="1"/>
    </xf>
    <xf numFmtId="58" fontId="22" fillId="34" borderId="0" xfId="0" applyNumberFormat="1" applyFont="1" applyFill="1" applyAlignment="1" applyProtection="1">
      <alignment horizontal="right" vertical="center"/>
      <protection locked="0"/>
    </xf>
    <xf numFmtId="0" fontId="22" fillId="34" borderId="0" xfId="0" applyFont="1" applyFill="1" applyAlignment="1" applyProtection="1">
      <alignment horizontal="right" vertical="center"/>
      <protection locked="0"/>
    </xf>
    <xf numFmtId="180" fontId="19" fillId="0" borderId="52" xfId="0" applyNumberFormat="1" applyFont="1" applyBorder="1" applyAlignment="1">
      <alignment horizontal="right" vertical="center"/>
    </xf>
    <xf numFmtId="180" fontId="19" fillId="0" borderId="45" xfId="0" applyNumberFormat="1" applyFont="1" applyBorder="1" applyAlignment="1">
      <alignment horizontal="right" vertical="center"/>
    </xf>
    <xf numFmtId="180" fontId="19" fillId="0" borderId="60" xfId="0" applyNumberFormat="1" applyFont="1" applyBorder="1" applyAlignment="1">
      <alignment horizontal="right" vertical="center"/>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60" fillId="0" borderId="12" xfId="0" applyFont="1" applyFill="1" applyBorder="1" applyAlignment="1">
      <alignment horizontal="center" vertical="center" wrapText="1"/>
    </xf>
    <xf numFmtId="0" fontId="60" fillId="0" borderId="11" xfId="0" applyFont="1" applyFill="1" applyBorder="1" applyAlignment="1">
      <alignment horizontal="center" vertical="center" wrapText="1"/>
    </xf>
    <xf numFmtId="0" fontId="60" fillId="0" borderId="12" xfId="0" applyFont="1" applyBorder="1" applyAlignment="1">
      <alignment horizontal="left" vertical="center" wrapText="1"/>
    </xf>
    <xf numFmtId="0" fontId="60" fillId="0" borderId="61" xfId="0" applyFont="1" applyBorder="1" applyAlignment="1">
      <alignment horizontal="left" vertical="center" wrapText="1"/>
    </xf>
    <xf numFmtId="177" fontId="26" fillId="0" borderId="75" xfId="0" applyNumberFormat="1" applyFont="1" applyFill="1" applyBorder="1" applyAlignment="1">
      <alignment horizontal="right" vertical="center" wrapText="1"/>
    </xf>
    <xf numFmtId="177" fontId="26" fillId="0" borderId="19" xfId="0" applyNumberFormat="1" applyFont="1" applyFill="1" applyBorder="1" applyAlignment="1">
      <alignment horizontal="right" vertical="center" wrapText="1"/>
    </xf>
    <xf numFmtId="177" fontId="26" fillId="0" borderId="20" xfId="0" applyNumberFormat="1" applyFont="1" applyFill="1" applyBorder="1" applyAlignment="1">
      <alignment horizontal="right" vertical="center" wrapText="1"/>
    </xf>
    <xf numFmtId="177" fontId="26" fillId="0" borderId="75" xfId="0" applyNumberFormat="1" applyFont="1" applyBorder="1" applyAlignment="1">
      <alignment horizontal="right" vertical="center" wrapText="1"/>
    </xf>
    <xf numFmtId="177" fontId="26" fillId="0" borderId="19" xfId="0" applyNumberFormat="1" applyFont="1" applyBorder="1" applyAlignment="1">
      <alignment horizontal="right" vertical="center" wrapText="1"/>
    </xf>
    <xf numFmtId="177" fontId="26" fillId="0" borderId="20" xfId="0" applyNumberFormat="1" applyFont="1" applyBorder="1" applyAlignment="1">
      <alignment horizontal="right" vertical="center" wrapText="1"/>
    </xf>
    <xf numFmtId="0" fontId="22" fillId="0" borderId="10" xfId="0" applyFont="1" applyBorder="1" applyAlignment="1">
      <alignment horizontal="center" vertical="center" wrapText="1"/>
    </xf>
    <xf numFmtId="0" fontId="55" fillId="0" borderId="0" xfId="0" applyFont="1" applyAlignment="1">
      <alignment horizontal="left"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6" fillId="0" borderId="66" xfId="0" applyFont="1" applyBorder="1" applyAlignment="1">
      <alignment horizontal="left" vertical="top" wrapText="1"/>
    </xf>
    <xf numFmtId="0" fontId="26" fillId="0" borderId="67" xfId="0" applyFont="1" applyBorder="1" applyAlignment="1">
      <alignment horizontal="left" vertical="top" wrapText="1"/>
    </xf>
    <xf numFmtId="0" fontId="26" fillId="0" borderId="0" xfId="0" applyFont="1" applyBorder="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0" fontId="62" fillId="0" borderId="0" xfId="0" applyFont="1" applyAlignment="1">
      <alignment horizontal="justify" vertical="center" wrapText="1"/>
    </xf>
    <xf numFmtId="0" fontId="21" fillId="0" borderId="0" xfId="0" applyFont="1" applyBorder="1" applyAlignment="1">
      <alignment horizontal="right" vertical="center" wrapText="1"/>
    </xf>
    <xf numFmtId="0" fontId="26" fillId="0" borderId="12" xfId="0" quotePrefix="1" applyFont="1" applyBorder="1" applyAlignment="1">
      <alignment horizontal="left" vertical="center" wrapText="1"/>
    </xf>
    <xf numFmtId="0" fontId="26" fillId="0" borderId="21" xfId="0" quotePrefix="1" applyFont="1" applyBorder="1" applyAlignment="1">
      <alignment horizontal="left" vertical="center" wrapText="1"/>
    </xf>
    <xf numFmtId="0" fontId="26" fillId="0" borderId="61" xfId="0" quotePrefix="1" applyFont="1" applyBorder="1" applyAlignment="1">
      <alignment horizontal="left" vertical="center" wrapText="1"/>
    </xf>
    <xf numFmtId="0" fontId="38" fillId="0" borderId="18" xfId="0" applyFont="1" applyBorder="1" applyAlignment="1">
      <alignment horizontal="center" vertical="center" textRotation="255"/>
    </xf>
    <xf numFmtId="0" fontId="38" fillId="0" borderId="19" xfId="0" applyFont="1" applyBorder="1" applyAlignment="1">
      <alignment horizontal="center" vertical="center" textRotation="255"/>
    </xf>
    <xf numFmtId="0" fontId="38" fillId="0" borderId="20" xfId="0" applyFont="1" applyBorder="1" applyAlignment="1">
      <alignment horizontal="center" vertical="center" textRotation="255"/>
    </xf>
    <xf numFmtId="0" fontId="25" fillId="33" borderId="30" xfId="0" applyFont="1" applyFill="1" applyBorder="1" applyAlignment="1" applyProtection="1">
      <alignment horizontal="center" vertical="center" wrapText="1"/>
      <protection locked="0"/>
    </xf>
    <xf numFmtId="0" fontId="25" fillId="33" borderId="63" xfId="0" applyFont="1" applyFill="1" applyBorder="1" applyAlignment="1" applyProtection="1">
      <alignment horizontal="center" vertical="center" wrapText="1"/>
      <protection locked="0"/>
    </xf>
    <xf numFmtId="0" fontId="25" fillId="33" borderId="31" xfId="0" applyFont="1" applyFill="1" applyBorder="1" applyAlignment="1" applyProtection="1">
      <alignment horizontal="center" vertical="center" wrapText="1"/>
      <protection locked="0"/>
    </xf>
    <xf numFmtId="0" fontId="19" fillId="0" borderId="18" xfId="0" applyFont="1" applyBorder="1" applyAlignment="1">
      <alignment horizontal="right" vertical="center"/>
    </xf>
    <xf numFmtId="0" fontId="19" fillId="0" borderId="20" xfId="0" applyFont="1" applyBorder="1" applyAlignment="1">
      <alignment horizontal="right" vertical="center"/>
    </xf>
    <xf numFmtId="0" fontId="60" fillId="0" borderId="12" xfId="0" applyFont="1" applyBorder="1" applyAlignment="1">
      <alignment horizontal="center" vertical="center" wrapText="1"/>
    </xf>
    <xf numFmtId="0" fontId="60" fillId="0" borderId="11"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63" fillId="0" borderId="10" xfId="0" applyFont="1" applyBorder="1" applyAlignment="1">
      <alignment horizontal="center" vertical="center" textRotation="255"/>
    </xf>
    <xf numFmtId="177" fontId="26" fillId="0" borderId="18" xfId="0" applyNumberFormat="1" applyFont="1" applyFill="1" applyBorder="1" applyAlignment="1">
      <alignment horizontal="right" vertical="center" wrapText="1"/>
    </xf>
    <xf numFmtId="177" fontId="26" fillId="0" borderId="10" xfId="0" applyNumberFormat="1" applyFont="1" applyFill="1" applyBorder="1" applyAlignment="1">
      <alignment horizontal="right" vertical="center" wrapText="1"/>
    </xf>
    <xf numFmtId="177" fontId="26" fillId="0" borderId="76" xfId="0" applyNumberFormat="1" applyFont="1" applyFill="1" applyBorder="1" applyAlignment="1">
      <alignment horizontal="right" vertical="center" wrapText="1"/>
    </xf>
    <xf numFmtId="0" fontId="60" fillId="0" borderId="10" xfId="0" applyFont="1" applyFill="1" applyBorder="1" applyAlignment="1">
      <alignment horizontal="left" vertical="center" wrapText="1"/>
    </xf>
    <xf numFmtId="0" fontId="60" fillId="0" borderId="43" xfId="0" applyFont="1" applyFill="1" applyBorder="1" applyAlignment="1">
      <alignment horizontal="left" vertical="center" wrapText="1"/>
    </xf>
    <xf numFmtId="0" fontId="63" fillId="0" borderId="71" xfId="0" applyFont="1" applyFill="1" applyBorder="1" applyAlignment="1">
      <alignment horizontal="center" vertical="center" textRotation="255"/>
    </xf>
    <xf numFmtId="0" fontId="63" fillId="0" borderId="72" xfId="0" applyFont="1" applyFill="1" applyBorder="1" applyAlignment="1">
      <alignment horizontal="center" vertical="center" textRotation="255"/>
    </xf>
    <xf numFmtId="0" fontId="63" fillId="0" borderId="73" xfId="0" applyFont="1" applyFill="1" applyBorder="1" applyAlignment="1">
      <alignment horizontal="center" vertical="center" textRotation="255"/>
    </xf>
    <xf numFmtId="0" fontId="26" fillId="0" borderId="18"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19" fillId="0" borderId="19" xfId="0" applyFont="1" applyBorder="1" applyAlignment="1">
      <alignment horizontal="right" vertical="center"/>
    </xf>
    <xf numFmtId="177" fontId="26" fillId="0" borderId="18" xfId="0" applyNumberFormat="1" applyFont="1" applyBorder="1" applyAlignment="1">
      <alignment horizontal="right" vertical="center" wrapText="1"/>
    </xf>
    <xf numFmtId="177" fontId="26" fillId="0" borderId="74" xfId="0" applyNumberFormat="1" applyFont="1" applyBorder="1" applyAlignment="1">
      <alignment horizontal="right" vertical="center" wrapText="1"/>
    </xf>
    <xf numFmtId="0" fontId="62" fillId="0" borderId="0" xfId="0" applyFont="1" applyAlignment="1">
      <alignment horizontal="left" vertical="center" wrapText="1"/>
    </xf>
    <xf numFmtId="0" fontId="66" fillId="0" borderId="0" xfId="0" applyFont="1" applyBorder="1" applyAlignment="1">
      <alignment horizontal="center" vertical="center" wrapText="1"/>
    </xf>
    <xf numFmtId="0" fontId="62" fillId="34" borderId="44" xfId="0" applyFont="1" applyFill="1" applyBorder="1" applyAlignment="1" applyProtection="1">
      <alignment horizontal="center" vertical="center" shrinkToFit="1"/>
      <protection locked="0"/>
    </xf>
    <xf numFmtId="0" fontId="62" fillId="34" borderId="46" xfId="0" applyFont="1" applyFill="1" applyBorder="1" applyAlignment="1" applyProtection="1">
      <alignment horizontal="center" vertical="center" shrinkToFit="1"/>
      <protection locked="0"/>
    </xf>
    <xf numFmtId="0" fontId="60" fillId="0" borderId="76" xfId="0" applyFont="1" applyFill="1" applyBorder="1" applyAlignment="1">
      <alignment horizontal="left" vertical="center" wrapText="1"/>
    </xf>
    <xf numFmtId="0" fontId="60" fillId="0" borderId="77" xfId="0" applyFont="1" applyFill="1" applyBorder="1" applyAlignment="1">
      <alignment horizontal="left" vertical="center" wrapText="1"/>
    </xf>
    <xf numFmtId="0" fontId="65" fillId="0" borderId="18" xfId="0" applyFont="1" applyBorder="1" applyAlignment="1">
      <alignment horizontal="left" vertical="center" wrapText="1"/>
    </xf>
    <xf numFmtId="0" fontId="65" fillId="0" borderId="74" xfId="0" applyFont="1" applyBorder="1" applyAlignment="1">
      <alignment horizontal="left" vertical="center" wrapText="1"/>
    </xf>
    <xf numFmtId="0" fontId="60" fillId="0" borderId="10" xfId="0" applyFont="1" applyBorder="1" applyAlignment="1">
      <alignment horizontal="left" vertical="center" wrapText="1"/>
    </xf>
    <xf numFmtId="0" fontId="60" fillId="0" borderId="43" xfId="0" applyFont="1" applyBorder="1" applyAlignment="1">
      <alignment horizontal="left" vertical="center"/>
    </xf>
    <xf numFmtId="0" fontId="60" fillId="0" borderId="25" xfId="0" applyFont="1" applyBorder="1" applyAlignment="1">
      <alignment horizontal="left" vertical="center" wrapText="1"/>
    </xf>
    <xf numFmtId="0" fontId="60" fillId="0" borderId="22" xfId="0" applyFont="1" applyBorder="1" applyAlignment="1">
      <alignment horizontal="left" vertical="center" wrapText="1"/>
    </xf>
    <xf numFmtId="0" fontId="60" fillId="0" borderId="17" xfId="0" applyFont="1" applyBorder="1" applyAlignment="1">
      <alignment horizontal="left" vertical="center" wrapText="1"/>
    </xf>
    <xf numFmtId="0" fontId="60" fillId="0" borderId="13" xfId="0" applyFont="1" applyBorder="1" applyAlignment="1">
      <alignment horizontal="left" vertical="center" wrapText="1"/>
    </xf>
    <xf numFmtId="0" fontId="23" fillId="0" borderId="1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20" xfId="0" applyFont="1" applyBorder="1" applyAlignment="1">
      <alignment horizontal="center" vertical="center" wrapText="1"/>
    </xf>
    <xf numFmtId="176" fontId="23" fillId="0" borderId="18" xfId="0" applyNumberFormat="1" applyFont="1" applyBorder="1" applyAlignment="1">
      <alignment horizontal="right" vertical="center" wrapText="1"/>
    </xf>
    <xf numFmtId="176" fontId="23" fillId="0" borderId="19" xfId="0" applyNumberFormat="1" applyFont="1" applyBorder="1" applyAlignment="1">
      <alignment horizontal="right" vertical="center" wrapText="1"/>
    </xf>
    <xf numFmtId="176" fontId="23" fillId="0" borderId="20" xfId="0" applyNumberFormat="1" applyFont="1" applyBorder="1" applyAlignment="1">
      <alignment horizontal="right" vertical="center" wrapText="1"/>
    </xf>
    <xf numFmtId="181" fontId="26" fillId="0" borderId="18" xfId="0" applyNumberFormat="1" applyFont="1" applyFill="1" applyBorder="1" applyAlignment="1">
      <alignment horizontal="right" vertical="center" wrapText="1" shrinkToFit="1"/>
    </xf>
    <xf numFmtId="181" fontId="26" fillId="0" borderId="19" xfId="0" applyNumberFormat="1" applyFont="1" applyFill="1" applyBorder="1" applyAlignment="1">
      <alignment horizontal="right" vertical="center" wrapText="1" shrinkToFit="1"/>
    </xf>
    <xf numFmtId="181" fontId="26" fillId="0" borderId="20" xfId="0" applyNumberFormat="1" applyFont="1" applyFill="1" applyBorder="1" applyAlignment="1">
      <alignment horizontal="right" vertical="center" wrapText="1" shrinkToFit="1"/>
    </xf>
    <xf numFmtId="0" fontId="52" fillId="0" borderId="24" xfId="0" applyFont="1" applyFill="1" applyBorder="1" applyAlignment="1">
      <alignment horizontal="center" vertical="center" wrapText="1" shrinkToFit="1"/>
    </xf>
    <xf numFmtId="0" fontId="52" fillId="0" borderId="23" xfId="0" applyFont="1" applyFill="1" applyBorder="1" applyAlignment="1">
      <alignment horizontal="center" vertical="center" wrapText="1" shrinkToFit="1"/>
    </xf>
    <xf numFmtId="0" fontId="60" fillId="0" borderId="68" xfId="0" applyFont="1" applyBorder="1" applyAlignment="1">
      <alignment horizontal="left" vertical="center" wrapText="1"/>
    </xf>
    <xf numFmtId="0" fontId="60" fillId="0" borderId="69" xfId="0" applyFont="1" applyBorder="1" applyAlignment="1">
      <alignment horizontal="left" vertical="center" wrapText="1"/>
    </xf>
    <xf numFmtId="0" fontId="60" fillId="0" borderId="12" xfId="0" applyFont="1" applyFill="1" applyBorder="1" applyAlignment="1">
      <alignment horizontal="left" vertical="center" wrapText="1"/>
    </xf>
    <xf numFmtId="0" fontId="60" fillId="0" borderId="18" xfId="0" applyFont="1" applyFill="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0" fontId="21" fillId="0" borderId="0" xfId="0" applyFont="1" applyFill="1" applyBorder="1" applyAlignment="1">
      <alignment horizontal="left" vertical="center" shrinkToFit="1"/>
    </xf>
    <xf numFmtId="0" fontId="22" fillId="0" borderId="10" xfId="0" applyFont="1" applyFill="1" applyBorder="1" applyAlignment="1">
      <alignment horizontal="center" vertical="center" wrapText="1"/>
    </xf>
    <xf numFmtId="176" fontId="23" fillId="0" borderId="10" xfId="0" applyNumberFormat="1" applyFont="1" applyFill="1" applyBorder="1" applyAlignment="1">
      <alignment horizontal="right" vertical="center" wrapText="1"/>
    </xf>
    <xf numFmtId="0" fontId="44" fillId="0" borderId="0" xfId="0" applyFont="1" applyBorder="1" applyAlignment="1">
      <alignment horizontal="left" vertical="center" wrapText="1"/>
    </xf>
    <xf numFmtId="0" fontId="22" fillId="0" borderId="12"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22" xfId="0" applyFont="1" applyFill="1" applyBorder="1" applyAlignment="1">
      <alignment horizontal="center" vertical="center" wrapText="1"/>
    </xf>
    <xf numFmtId="176" fontId="23" fillId="0" borderId="18" xfId="0" applyNumberFormat="1" applyFont="1" applyFill="1" applyBorder="1" applyAlignment="1">
      <alignment horizontal="right" vertical="center" wrapText="1"/>
    </xf>
    <xf numFmtId="176" fontId="23" fillId="0" borderId="19" xfId="0" applyNumberFormat="1" applyFont="1" applyFill="1" applyBorder="1" applyAlignment="1">
      <alignment horizontal="right" vertical="center" wrapText="1"/>
    </xf>
    <xf numFmtId="0" fontId="21" fillId="34" borderId="44" xfId="0" applyFont="1" applyFill="1" applyBorder="1" applyAlignment="1" applyProtection="1">
      <alignment horizontal="left" vertical="center" wrapText="1" shrinkToFit="1"/>
      <protection locked="0"/>
    </xf>
    <xf numFmtId="0" fontId="21" fillId="34" borderId="45" xfId="0" applyFont="1" applyFill="1" applyBorder="1" applyAlignment="1" applyProtection="1">
      <alignment horizontal="left" vertical="center" wrapText="1" shrinkToFit="1"/>
      <protection locked="0"/>
    </xf>
    <xf numFmtId="0" fontId="21" fillId="34" borderId="46" xfId="0" applyFont="1" applyFill="1" applyBorder="1" applyAlignment="1" applyProtection="1">
      <alignment horizontal="left" vertical="center" wrapText="1" shrinkToFit="1"/>
      <protection locked="0"/>
    </xf>
    <xf numFmtId="0" fontId="21" fillId="0" borderId="52" xfId="0" applyFont="1" applyFill="1" applyBorder="1" applyAlignment="1" applyProtection="1">
      <alignment horizontal="center" vertical="center" wrapText="1" shrinkToFit="1"/>
      <protection locked="0"/>
    </xf>
    <xf numFmtId="0" fontId="21" fillId="0" borderId="45" xfId="0" applyFont="1" applyFill="1" applyBorder="1" applyAlignment="1" applyProtection="1">
      <alignment horizontal="center" vertical="center" wrapText="1" shrinkToFit="1"/>
      <protection locked="0"/>
    </xf>
    <xf numFmtId="0" fontId="21" fillId="0" borderId="60" xfId="0" applyFont="1" applyFill="1" applyBorder="1" applyAlignment="1" applyProtection="1">
      <alignment horizontal="center" vertical="center" wrapText="1" shrinkToFit="1"/>
      <protection locked="0"/>
    </xf>
    <xf numFmtId="0" fontId="38" fillId="0" borderId="25" xfId="0" applyFont="1" applyBorder="1" applyAlignment="1">
      <alignment horizontal="center" vertical="center" textRotation="255"/>
    </xf>
    <xf numFmtId="0" fontId="25" fillId="0" borderId="80" xfId="0" applyFont="1" applyFill="1" applyBorder="1" applyAlignment="1">
      <alignment horizontal="left" vertical="center" wrapText="1"/>
    </xf>
    <xf numFmtId="0" fontId="25" fillId="0" borderId="81" xfId="0" applyFont="1" applyFill="1" applyBorder="1" applyAlignment="1">
      <alignment horizontal="left" vertical="center" wrapText="1"/>
    </xf>
    <xf numFmtId="0" fontId="24" fillId="0" borderId="24"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0" borderId="18" xfId="0" applyFont="1" applyBorder="1" applyAlignment="1">
      <alignment horizontal="center" vertical="center" wrapText="1"/>
    </xf>
    <xf numFmtId="0" fontId="21" fillId="0" borderId="54" xfId="0" applyFont="1" applyFill="1" applyBorder="1" applyAlignment="1" applyProtection="1">
      <alignment horizontal="center" vertical="center" wrapText="1" shrinkToFit="1"/>
      <protection locked="0"/>
    </xf>
    <xf numFmtId="0" fontId="21" fillId="0" borderId="47" xfId="0" applyFont="1" applyFill="1" applyBorder="1" applyAlignment="1" applyProtection="1">
      <alignment horizontal="center" vertical="center" wrapText="1" shrinkToFit="1"/>
      <protection locked="0"/>
    </xf>
    <xf numFmtId="0" fontId="21" fillId="0" borderId="53" xfId="0" applyFont="1" applyFill="1" applyBorder="1" applyAlignment="1" applyProtection="1">
      <alignment horizontal="center" vertical="center" wrapText="1" shrinkToFit="1"/>
      <protection locked="0"/>
    </xf>
    <xf numFmtId="0" fontId="55" fillId="0" borderId="0" xfId="0" applyFont="1" applyAlignment="1">
      <alignment horizontal="justify"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160020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4</xdr:row>
          <xdr:rowOff>68580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4</xdr:row>
          <xdr:rowOff>45720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7</xdr:row>
          <xdr:rowOff>76200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137160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68580</xdr:colOff>
          <xdr:row>9</xdr:row>
          <xdr:rowOff>114300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137160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5</xdr:row>
          <xdr:rowOff>38100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5</xdr:row>
          <xdr:rowOff>7620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5</xdr:row>
          <xdr:rowOff>175260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7</xdr:col>
          <xdr:colOff>2788920</xdr:colOff>
          <xdr:row>4</xdr:row>
          <xdr:rowOff>190500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7</xdr:row>
          <xdr:rowOff>76200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17</xdr:row>
      <xdr:rowOff>30480</xdr:rowOff>
    </xdr:from>
    <xdr:to>
      <xdr:col>6</xdr:col>
      <xdr:colOff>8677</xdr:colOff>
      <xdr:row>36</xdr:row>
      <xdr:rowOff>135890</xdr:rowOff>
    </xdr:to>
    <xdr:sp macro="" textlink="">
      <xdr:nvSpPr>
        <xdr:cNvPr id="19" name="テキスト ボックス 18"/>
        <xdr:cNvSpPr txBox="1"/>
      </xdr:nvSpPr>
      <xdr:spPr>
        <a:xfrm>
          <a:off x="304800" y="4053840"/>
          <a:ext cx="9236497" cy="33743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rPr>
            <a:t>＜様式第</a:t>
          </a:r>
          <a:r>
            <a:rPr kumimoji="1" lang="en-US" altLang="ja-JP" sz="1100">
              <a:solidFill>
                <a:sysClr val="windowText" lastClr="000000"/>
              </a:solidFill>
            </a:rPr>
            <a:t>11</a:t>
          </a:r>
          <a:r>
            <a:rPr kumimoji="1" lang="ja-JP" altLang="en-US" sz="1100">
              <a:solidFill>
                <a:sysClr val="windowText" lastClr="000000"/>
              </a:solidFill>
            </a:rPr>
            <a:t>号（その１）に関する記載留意事項＞</a:t>
          </a:r>
          <a:endParaRPr kumimoji="1" lang="en-US" altLang="ja-JP" sz="1100">
            <a:solidFill>
              <a:sysClr val="windowText" lastClr="000000"/>
            </a:solidFill>
          </a:endParaRPr>
        </a:p>
        <a:p>
          <a:pPr algn="l"/>
          <a:r>
            <a:rPr kumimoji="1" lang="ja-JP" altLang="en-US" sz="1100">
              <a:solidFill>
                <a:sysClr val="windowText" lastClr="000000"/>
              </a:solidFill>
            </a:rPr>
            <a:t>１．入札公告及び総合評価点評価基準を元に、＜基本データ＞へ必要事項（黄色セル）を入力（選択）する。</a:t>
          </a:r>
          <a:endParaRPr kumimoji="1" lang="en-US" altLang="ja-JP" sz="1100">
            <a:solidFill>
              <a:sysClr val="windowText" lastClr="000000"/>
            </a:solidFill>
          </a:endParaRPr>
        </a:p>
        <a:p>
          <a:r>
            <a:rPr kumimoji="1" lang="ja-JP" altLang="en-US" sz="1100">
              <a:solidFill>
                <a:sysClr val="windowText" lastClr="000000"/>
              </a:solidFill>
            </a:rPr>
            <a:t>２．様式第</a:t>
          </a:r>
          <a:r>
            <a:rPr kumimoji="1" lang="en-US" altLang="ja-JP" sz="1100">
              <a:solidFill>
                <a:sysClr val="windowText" lastClr="000000"/>
              </a:solidFill>
            </a:rPr>
            <a:t>1</a:t>
          </a:r>
          <a:r>
            <a:rPr kumimoji="1" lang="ja-JP" altLang="en-US" sz="1100">
              <a:solidFill>
                <a:sysClr val="windowText" lastClr="000000"/>
              </a:solidFill>
            </a:rPr>
            <a:t>号及び様式第</a:t>
          </a:r>
          <a:r>
            <a:rPr kumimoji="1" lang="en-US" altLang="ja-JP" sz="1100">
              <a:solidFill>
                <a:sysClr val="windowText" lastClr="000000"/>
              </a:solidFill>
            </a:rPr>
            <a:t>11</a:t>
          </a:r>
          <a:r>
            <a:rPr kumimoji="1" lang="ja-JP" altLang="en-US" sz="1100">
              <a:solidFill>
                <a:sysClr val="windowText" lastClr="000000"/>
              </a:solidFill>
            </a:rPr>
            <a:t>号に必要事項（黄色セル）を入力（選択）する。</a:t>
          </a:r>
          <a:r>
            <a:rPr kumimoji="1" lang="ja-JP" altLang="ja-JP" sz="1100">
              <a:solidFill>
                <a:schemeClr val="dk1"/>
              </a:solidFill>
              <a:effectLst/>
              <a:latin typeface="+mn-lt"/>
              <a:ea typeface="+mn-ea"/>
              <a:cs typeface="+mn-cs"/>
            </a:rPr>
            <a:t>なお、下記</a:t>
          </a:r>
          <a:r>
            <a:rPr kumimoji="1" lang="ja-JP" altLang="en-US" sz="1100">
              <a:solidFill>
                <a:schemeClr val="dk1"/>
              </a:solidFill>
              <a:effectLst/>
              <a:latin typeface="+mn-lt"/>
              <a:ea typeface="+mn-ea"/>
              <a:cs typeface="+mn-cs"/>
            </a:rPr>
            <a:t>①～③</a:t>
          </a:r>
          <a:r>
            <a:rPr kumimoji="1" lang="ja-JP" altLang="ja-JP" sz="1100">
              <a:solidFill>
                <a:schemeClr val="dk1"/>
              </a:solidFill>
              <a:effectLst/>
              <a:latin typeface="+mn-lt"/>
              <a:ea typeface="+mn-ea"/>
              <a:cs typeface="+mn-cs"/>
            </a:rPr>
            <a:t>に該当する場合、加算点欄が”</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”表示されます。</a:t>
          </a:r>
          <a:endParaRPr lang="ja-JP" altLang="ja-JP">
            <a:effectLst/>
          </a:endParaRPr>
        </a:p>
        <a:p>
          <a:r>
            <a:rPr kumimoji="1" lang="ja-JP" altLang="ja-JP" sz="1100">
              <a:solidFill>
                <a:schemeClr val="dk1"/>
              </a:solidFill>
              <a:effectLst/>
              <a:latin typeface="+mn-lt"/>
              <a:ea typeface="+mn-ea"/>
              <a:cs typeface="+mn-cs"/>
            </a:rPr>
            <a:t>　①各項目の必要事項の入力が不十分な場合。</a:t>
          </a:r>
          <a:endParaRPr lang="ja-JP" altLang="ja-JP">
            <a:effectLst/>
          </a:endParaRPr>
        </a:p>
        <a:p>
          <a:r>
            <a:rPr kumimoji="1" lang="ja-JP" altLang="ja-JP" sz="1100">
              <a:solidFill>
                <a:schemeClr val="dk1"/>
              </a:solidFill>
              <a:effectLst/>
              <a:latin typeface="+mn-lt"/>
              <a:ea typeface="+mn-ea"/>
              <a:cs typeface="+mn-cs"/>
            </a:rPr>
            <a:t>　②”入札参加者の所在地”が、地域要件ごとの評価対象エリアに該当しない場合</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（「ボランティア活動」及び「選択②」は評価対象外で”－”で表示。）</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③発注種別が”一般土木工事又は舗装工事”以外の場合　（「除雪・維持補修業務の実績」は評価対象外</a:t>
          </a:r>
          <a:r>
            <a:rPr kumimoji="1" lang="ja-JP" altLang="en-US" sz="1100">
              <a:solidFill>
                <a:schemeClr val="dk1"/>
              </a:solidFill>
              <a:effectLst/>
              <a:latin typeface="+mn-lt"/>
              <a:ea typeface="+mn-ea"/>
              <a:cs typeface="+mn-cs"/>
            </a:rPr>
            <a:t>のため</a:t>
          </a:r>
          <a:r>
            <a:rPr kumimoji="1" lang="ja-JP" altLang="ja-JP" sz="1100">
              <a:solidFill>
                <a:schemeClr val="dk1"/>
              </a:solidFill>
              <a:effectLst/>
              <a:latin typeface="+mn-lt"/>
              <a:ea typeface="+mn-ea"/>
              <a:cs typeface="+mn-cs"/>
            </a:rPr>
            <a:t>”－”で表示されます。）</a:t>
          </a:r>
          <a:endParaRPr lang="ja-JP" altLang="ja-JP">
            <a:effectLst/>
          </a:endParaRPr>
        </a:p>
        <a:p>
          <a:pPr algn="l"/>
          <a:r>
            <a:rPr kumimoji="1" lang="ja-JP" altLang="en-US" sz="1100">
              <a:solidFill>
                <a:sysClr val="windowText" lastClr="000000"/>
              </a:solidFill>
            </a:rPr>
            <a:t>３．提出されたものに、入力の誤りがあった場合の評価方法は、次のとおり取り扱う。</a:t>
          </a:r>
          <a:endParaRPr kumimoji="1" lang="en-US" altLang="ja-JP" sz="1100">
            <a:solidFill>
              <a:sysClr val="windowText" lastClr="000000"/>
            </a:solidFill>
          </a:endParaRPr>
        </a:p>
        <a:p>
          <a:pPr algn="l"/>
          <a:r>
            <a:rPr kumimoji="1" lang="ja-JP" altLang="en-US" sz="1100">
              <a:solidFill>
                <a:sysClr val="windowText" lastClr="000000"/>
              </a:solidFill>
            </a:rPr>
            <a:t>　①＜基本データ＞の「企業の工事成績の評価対象期間」、「同一発注種別」、「地域要件」、</a:t>
          </a:r>
          <a:r>
            <a:rPr kumimoji="1" lang="ja-JP" altLang="ja-JP" sz="1100">
              <a:solidFill>
                <a:schemeClr val="dk1"/>
              </a:solidFill>
              <a:effectLst/>
              <a:latin typeface="+mn-lt"/>
              <a:ea typeface="+mn-ea"/>
              <a:cs typeface="+mn-cs"/>
            </a:rPr>
            <a:t>「工事箇所の所在する市町村」</a:t>
          </a:r>
          <a:r>
            <a:rPr kumimoji="1" lang="ja-JP" altLang="en-US" sz="1100">
              <a:solidFill>
                <a:sysClr val="windowText" lastClr="000000"/>
              </a:solidFill>
            </a:rPr>
            <a:t>の入力に誤りがあると判断される</a:t>
          </a:r>
          <a:endParaRPr kumimoji="1" lang="en-US" altLang="ja-JP" sz="1100">
            <a:solidFill>
              <a:sysClr val="windowText" lastClr="000000"/>
            </a:solidFill>
          </a:endParaRPr>
        </a:p>
        <a:p>
          <a:pPr algn="l"/>
          <a:r>
            <a:rPr kumimoji="1" lang="ja-JP" altLang="en-US" sz="1100">
              <a:solidFill>
                <a:sysClr val="windowText" lastClr="000000"/>
              </a:solidFill>
            </a:rPr>
            <a:t>　　場合は、</a:t>
          </a:r>
          <a:r>
            <a:rPr kumimoji="1" lang="ja-JP" altLang="ja-JP" sz="1100">
              <a:solidFill>
                <a:schemeClr val="dk1"/>
              </a:solidFill>
              <a:effectLst/>
              <a:latin typeface="+mn-lt"/>
              <a:ea typeface="+mn-ea"/>
              <a:cs typeface="+mn-cs"/>
            </a:rPr>
            <a:t>発注者が</a:t>
          </a:r>
          <a:r>
            <a:rPr kumimoji="1" lang="ja-JP" altLang="en-US" sz="1100">
              <a:solidFill>
                <a:sysClr val="windowText" lastClr="000000"/>
              </a:solidFill>
            </a:rPr>
            <a:t>正しい条件で加算点を修正するものとする。</a:t>
          </a:r>
          <a:endParaRPr kumimoji="1" lang="en-US" altLang="ja-JP" sz="1100">
            <a:solidFill>
              <a:sysClr val="windowText" lastClr="000000"/>
            </a:solidFill>
          </a:endParaRPr>
        </a:p>
        <a:p>
          <a:pPr algn="l"/>
          <a:r>
            <a:rPr kumimoji="1" lang="ja-JP" altLang="en-US" sz="1100">
              <a:solidFill>
                <a:sysClr val="windowText" lastClr="000000"/>
              </a:solidFill>
            </a:rPr>
            <a:t>　②入力の誤りにより加算点を</a:t>
          </a:r>
          <a:r>
            <a:rPr kumimoji="1" lang="ja-JP" altLang="en-US" sz="1100" u="sng">
              <a:solidFill>
                <a:sysClr val="windowText" lastClr="000000"/>
              </a:solidFill>
            </a:rPr>
            <a:t>過大</a:t>
          </a:r>
          <a:r>
            <a:rPr kumimoji="1" lang="ja-JP" altLang="en-US" sz="1100">
              <a:solidFill>
                <a:sysClr val="windowText" lastClr="000000"/>
              </a:solidFill>
            </a:rPr>
            <a:t>評価した場合は、当該評価項目について、発注者が正しい加算点に修正するものとする。</a:t>
          </a:r>
          <a:endParaRPr kumimoji="1" lang="en-US" altLang="ja-JP" sz="1100">
            <a:solidFill>
              <a:sysClr val="windowText" lastClr="000000"/>
            </a:solidFill>
          </a:endParaRPr>
        </a:p>
        <a:p>
          <a:pPr algn="l"/>
          <a:r>
            <a:rPr kumimoji="1" lang="ja-JP" altLang="en-US" sz="1100">
              <a:solidFill>
                <a:sysClr val="windowText" lastClr="000000"/>
              </a:solidFill>
            </a:rPr>
            <a:t>　　（例：記載した工事概要が、評価基準に該当しないなど）</a:t>
          </a:r>
          <a:endParaRPr kumimoji="1" lang="en-US" altLang="ja-JP" sz="1100">
            <a:solidFill>
              <a:sysClr val="windowText" lastClr="000000"/>
            </a:solidFill>
          </a:endParaRPr>
        </a:p>
        <a:p>
          <a:pPr algn="l"/>
          <a:r>
            <a:rPr kumimoji="1" lang="ja-JP" altLang="en-US" sz="1100">
              <a:solidFill>
                <a:sysClr val="windowText" lastClr="000000"/>
              </a:solidFill>
            </a:rPr>
            <a:t>　③入力の誤りにより加算点を</a:t>
          </a:r>
          <a:r>
            <a:rPr kumimoji="1" lang="ja-JP" altLang="en-US" sz="1100" u="sng">
              <a:solidFill>
                <a:sysClr val="windowText" lastClr="000000"/>
              </a:solidFill>
            </a:rPr>
            <a:t>過小</a:t>
          </a:r>
          <a:r>
            <a:rPr kumimoji="1" lang="ja-JP" altLang="en-US" sz="1100">
              <a:solidFill>
                <a:sysClr val="windowText" lastClr="000000"/>
              </a:solidFill>
            </a:rPr>
            <a:t>評価した場合は、当該評価項目について、記載された加算点により評価する。</a:t>
          </a:r>
          <a:endParaRPr kumimoji="1" lang="en-US" altLang="ja-JP" sz="1100">
            <a:solidFill>
              <a:sysClr val="windowText" lastClr="000000"/>
            </a:solidFill>
          </a:endParaRPr>
        </a:p>
        <a:p>
          <a:pPr algn="l"/>
          <a:r>
            <a:rPr kumimoji="1" lang="ja-JP" altLang="en-US" sz="1100">
              <a:solidFill>
                <a:sysClr val="windowText" lastClr="000000"/>
              </a:solidFill>
            </a:rPr>
            <a:t>　　（例：</a:t>
          </a:r>
          <a:r>
            <a:rPr kumimoji="1" lang="ja-JP" altLang="ja-JP" sz="1100">
              <a:solidFill>
                <a:schemeClr val="dk1"/>
              </a:solidFill>
              <a:effectLst/>
              <a:latin typeface="+mn-lt"/>
              <a:ea typeface="+mn-ea"/>
              <a:cs typeface="+mn-cs"/>
            </a:rPr>
            <a:t>委任なし支店等があるのに、選択していないなど</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４．落札候補者のみ、提出した技術提案書を</a:t>
          </a:r>
          <a:r>
            <a:rPr kumimoji="1" lang="ja-JP" altLang="ja-JP" sz="1100">
              <a:solidFill>
                <a:schemeClr val="dk1"/>
              </a:solidFill>
              <a:effectLst/>
              <a:latin typeface="+mn-lt"/>
              <a:ea typeface="+mn-ea"/>
              <a:cs typeface="+mn-cs"/>
            </a:rPr>
            <a:t>事後確認資料で</a:t>
          </a:r>
          <a:r>
            <a:rPr kumimoji="1" lang="ja-JP" altLang="en-US" sz="1100">
              <a:solidFill>
                <a:sysClr val="windowText" lastClr="000000"/>
              </a:solidFill>
            </a:rPr>
            <a:t>確認します。そのため、評価値が２位以下の者については、事後確認を行わないため、</a:t>
          </a:r>
          <a:endParaRPr kumimoji="1" lang="en-US" altLang="ja-JP" sz="1100">
            <a:solidFill>
              <a:sysClr val="windowText" lastClr="000000"/>
            </a:solidFill>
          </a:endParaRPr>
        </a:p>
        <a:p>
          <a:pPr algn="l"/>
          <a:r>
            <a:rPr kumimoji="1" lang="ja-JP" altLang="en-US" sz="1100">
              <a:solidFill>
                <a:sysClr val="windowText" lastClr="000000"/>
              </a:solidFill>
            </a:rPr>
            <a:t>　　公表する加算点及び評価値は正しいものとは限りません。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7620</xdr:rowOff>
        </xdr:from>
        <xdr:to>
          <xdr:col>0</xdr:col>
          <xdr:colOff>495300</xdr:colOff>
          <xdr:row>18</xdr:row>
          <xdr:rowOff>7620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22860</xdr:rowOff>
        </xdr:from>
        <xdr:to>
          <xdr:col>0</xdr:col>
          <xdr:colOff>495300</xdr:colOff>
          <xdr:row>22</xdr:row>
          <xdr:rowOff>15240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7620</xdr:rowOff>
        </xdr:from>
        <xdr:to>
          <xdr:col>0</xdr:col>
          <xdr:colOff>495300</xdr:colOff>
          <xdr:row>26</xdr:row>
          <xdr:rowOff>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7620</xdr:rowOff>
        </xdr:from>
        <xdr:to>
          <xdr:col>0</xdr:col>
          <xdr:colOff>495300</xdr:colOff>
          <xdr:row>32</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24569</xdr:colOff>
      <xdr:row>0</xdr:row>
      <xdr:rowOff>0</xdr:rowOff>
    </xdr:from>
    <xdr:to>
      <xdr:col>18</xdr:col>
      <xdr:colOff>579062</xdr:colOff>
      <xdr:row>0</xdr:row>
      <xdr:rowOff>263827</xdr:rowOff>
    </xdr:to>
    <xdr:sp macro="" textlink="">
      <xdr:nvSpPr>
        <xdr:cNvPr id="112" name="テキスト ボックス 111"/>
        <xdr:cNvSpPr txBox="1"/>
      </xdr:nvSpPr>
      <xdr:spPr>
        <a:xfrm>
          <a:off x="14185069" y="0"/>
          <a:ext cx="4967743"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rPr>
            <a:t>※M</a:t>
          </a:r>
          <a:r>
            <a:rPr kumimoji="1" lang="ja-JP" altLang="en-US" sz="1800" b="1">
              <a:solidFill>
                <a:srgbClr val="FF0000"/>
              </a:solidFill>
            </a:rPr>
            <a:t>列以降は、計算用なので絶対に触らないこと。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7"/>
  <sheetViews>
    <sheetView showGridLines="0" tabSelected="1" view="pageBreakPreview" zoomScale="60" zoomScaleNormal="60" workbookViewId="0">
      <selection activeCell="D4" sqref="D4:E4"/>
    </sheetView>
  </sheetViews>
  <sheetFormatPr defaultRowHeight="13.2" x14ac:dyDescent="0.2"/>
  <cols>
    <col min="1" max="1" width="2" customWidth="1"/>
    <col min="2" max="2" width="2.44140625" customWidth="1"/>
    <col min="3" max="3" width="30.109375" customWidth="1"/>
    <col min="4" max="4" width="25.6640625" customWidth="1"/>
    <col min="5" max="5" width="24.77734375" customWidth="1"/>
    <col min="6" max="6" width="54"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x14ac:dyDescent="0.2">
      <c r="E1" t="s">
        <v>304</v>
      </c>
    </row>
    <row r="2" spans="2:10" ht="20.100000000000001" customHeight="1" x14ac:dyDescent="0.2">
      <c r="B2" s="30" t="s">
        <v>300</v>
      </c>
    </row>
    <row r="3" spans="2:10" s="27" customFormat="1" ht="20.100000000000001" customHeight="1" x14ac:dyDescent="0.2">
      <c r="C3" s="21" t="s">
        <v>151</v>
      </c>
      <c r="D3" s="256" t="s">
        <v>156</v>
      </c>
      <c r="E3" s="257"/>
      <c r="F3" s="186" t="s">
        <v>157</v>
      </c>
      <c r="H3" s="180"/>
      <c r="I3" s="180"/>
      <c r="J3" s="180"/>
    </row>
    <row r="4" spans="2:10" s="32" customFormat="1" ht="20.100000000000001" customHeight="1" x14ac:dyDescent="0.2">
      <c r="C4" s="34" t="s">
        <v>154</v>
      </c>
      <c r="D4" s="250" t="s">
        <v>316</v>
      </c>
      <c r="E4" s="251"/>
      <c r="F4" s="181" t="s">
        <v>165</v>
      </c>
      <c r="G4" s="33"/>
      <c r="H4" s="181" t="str">
        <f t="shared" ref="H4:H9" si="0">D4</f>
        <v>令和○年○月○日</v>
      </c>
      <c r="I4" s="182"/>
      <c r="J4" s="182"/>
    </row>
    <row r="5" spans="2:10" s="32" customFormat="1" ht="20.100000000000001" customHeight="1" x14ac:dyDescent="0.2">
      <c r="C5" s="34" t="s">
        <v>152</v>
      </c>
      <c r="D5" s="252" t="s">
        <v>317</v>
      </c>
      <c r="E5" s="253"/>
      <c r="F5" s="181"/>
      <c r="G5" s="33"/>
      <c r="H5" s="181" t="str">
        <f t="shared" si="0"/>
        <v xml:space="preserve">第○○-○○○○○-○○○○号 </v>
      </c>
      <c r="I5" s="182"/>
      <c r="J5" s="182"/>
    </row>
    <row r="6" spans="2:10" s="32" customFormat="1" ht="20.100000000000001" customHeight="1" x14ac:dyDescent="0.2">
      <c r="C6" s="34" t="s">
        <v>153</v>
      </c>
      <c r="D6" s="260" t="s">
        <v>318</v>
      </c>
      <c r="E6" s="261"/>
      <c r="F6" s="181"/>
      <c r="G6" s="33"/>
      <c r="H6" s="181" t="str">
        <f t="shared" si="0"/>
        <v>○○○○○○○○○○○○○○工事</v>
      </c>
      <c r="I6" s="182"/>
      <c r="J6" s="182"/>
    </row>
    <row r="7" spans="2:10" s="32" customFormat="1" ht="20.100000000000001" customHeight="1" x14ac:dyDescent="0.2">
      <c r="C7" s="34" t="s">
        <v>155</v>
      </c>
      <c r="D7" s="254" t="s">
        <v>344</v>
      </c>
      <c r="E7" s="255"/>
      <c r="F7" s="181"/>
      <c r="G7" s="33"/>
      <c r="H7" s="181" t="str">
        <f t="shared" si="0"/>
        <v>(株)○○建設</v>
      </c>
      <c r="I7" s="182"/>
      <c r="J7" s="182"/>
    </row>
    <row r="8" spans="2:10" s="27" customFormat="1" ht="20.100000000000001" customHeight="1" x14ac:dyDescent="0.2">
      <c r="C8" s="246" t="s">
        <v>55</v>
      </c>
      <c r="D8" s="29" t="s">
        <v>346</v>
      </c>
      <c r="E8" s="188" t="s">
        <v>59</v>
      </c>
      <c r="F8" s="244" t="s">
        <v>171</v>
      </c>
      <c r="H8" s="183" t="str">
        <f t="shared" si="0"/>
        <v>2020/XX/XX</v>
      </c>
      <c r="I8" s="180"/>
      <c r="J8" s="180"/>
    </row>
    <row r="9" spans="2:10" s="27" customFormat="1" ht="20.100000000000001" customHeight="1" x14ac:dyDescent="0.2">
      <c r="C9" s="247"/>
      <c r="D9" s="29" t="s">
        <v>347</v>
      </c>
      <c r="E9" s="188" t="s">
        <v>60</v>
      </c>
      <c r="F9" s="245"/>
      <c r="H9" s="183" t="str">
        <f t="shared" si="0"/>
        <v>2020/XX/XX</v>
      </c>
      <c r="I9" s="180"/>
      <c r="J9" s="180"/>
    </row>
    <row r="10" spans="2:10" s="27" customFormat="1" ht="20.100000000000001" customHeight="1" x14ac:dyDescent="0.2">
      <c r="C10" s="35" t="s">
        <v>292</v>
      </c>
      <c r="D10" s="258"/>
      <c r="E10" s="259"/>
      <c r="F10" s="187" t="s">
        <v>161</v>
      </c>
      <c r="H10" s="184">
        <f>IF(OR(D10="一般土木工事",D10="舗装工事"),1,10)</f>
        <v>10</v>
      </c>
      <c r="I10" s="180" t="s">
        <v>238</v>
      </c>
      <c r="J10" s="180"/>
    </row>
    <row r="11" spans="2:10" s="27" customFormat="1" ht="20.100000000000001" customHeight="1" x14ac:dyDescent="0.2">
      <c r="C11" s="129" t="s">
        <v>227</v>
      </c>
      <c r="D11" s="254"/>
      <c r="E11" s="255"/>
      <c r="F11" s="187"/>
      <c r="H11" s="184" t="e">
        <f>VLOOKUP(D11,リスト2!G3:I6,3,FALSE)</f>
        <v>#N/A</v>
      </c>
      <c r="I11" s="180" t="s">
        <v>282</v>
      </c>
      <c r="J11" s="180"/>
    </row>
    <row r="12" spans="2:10" s="27" customFormat="1" ht="20.100000000000001" customHeight="1" x14ac:dyDescent="0.2">
      <c r="C12" s="248" t="s">
        <v>293</v>
      </c>
      <c r="D12" s="31" t="s">
        <v>141</v>
      </c>
      <c r="E12" s="31" t="s">
        <v>147</v>
      </c>
      <c r="F12" s="244" t="s">
        <v>226</v>
      </c>
      <c r="H12" s="180"/>
      <c r="I12" s="180"/>
      <c r="J12" s="180"/>
    </row>
    <row r="13" spans="2:10" s="27" customFormat="1" ht="20.100000000000001" customHeight="1" x14ac:dyDescent="0.2">
      <c r="C13" s="249"/>
      <c r="D13" s="185"/>
      <c r="E13" s="185" t="s">
        <v>201</v>
      </c>
      <c r="F13" s="245"/>
      <c r="H13" s="180"/>
      <c r="I13" s="180"/>
      <c r="J13" s="180"/>
    </row>
    <row r="14" spans="2:10" s="27" customFormat="1" ht="20.100000000000001" customHeight="1" x14ac:dyDescent="0.2">
      <c r="C14" s="26" t="s">
        <v>149</v>
      </c>
      <c r="D14" s="28" t="e">
        <f>VLOOKUP(D13,リスト2!$C$3:$E$64,2,FALSE)</f>
        <v>#N/A</v>
      </c>
      <c r="E14" s="28" t="str">
        <f>VLOOKUP(E13,リスト2!$C$3:$E$64,2,FALSE)</f>
        <v>-</v>
      </c>
      <c r="F14" s="28" t="s">
        <v>291</v>
      </c>
    </row>
    <row r="15" spans="2:10" s="27" customFormat="1" ht="20.100000000000001" customHeight="1" x14ac:dyDescent="0.2">
      <c r="C15" s="26" t="s">
        <v>150</v>
      </c>
      <c r="D15" s="28" t="e">
        <f>VLOOKUP(D13,リスト2!$C$3:$E$64,3,FALSE)</f>
        <v>#N/A</v>
      </c>
      <c r="E15" s="28" t="str">
        <f>VLOOKUP(E13,リスト2!$C$3:$E$64,3,FALSE)</f>
        <v>-</v>
      </c>
      <c r="F15" s="28" t="s">
        <v>148</v>
      </c>
    </row>
    <row r="16" spans="2:10" s="27" customFormat="1" ht="20.100000000000001" customHeight="1" x14ac:dyDescent="0.2">
      <c r="D16" s="27" t="s">
        <v>290</v>
      </c>
    </row>
    <row r="17" spans="3:6" s="27" customFormat="1" ht="20.100000000000001" customHeight="1" x14ac:dyDescent="0.2">
      <c r="C17" s="28" t="s">
        <v>145</v>
      </c>
      <c r="D17" s="36" t="e">
        <f>'3.様式第11号-1(特別簡易型)'!J1</f>
        <v>#N/A</v>
      </c>
      <c r="E17" s="28" t="s">
        <v>146</v>
      </c>
      <c r="F17" s="37" t="s">
        <v>311</v>
      </c>
    </row>
    <row r="18" spans="3:6" s="27" customFormat="1" ht="20.100000000000001" customHeight="1" x14ac:dyDescent="0.2"/>
    <row r="19" spans="3:6" s="27" customFormat="1" x14ac:dyDescent="0.2"/>
    <row r="20" spans="3:6" s="27" customFormat="1" x14ac:dyDescent="0.2"/>
    <row r="21" spans="3:6" s="27" customFormat="1" x14ac:dyDescent="0.2"/>
    <row r="22" spans="3:6" s="27" customFormat="1" x14ac:dyDescent="0.2"/>
    <row r="23" spans="3:6" s="27" customFormat="1" x14ac:dyDescent="0.2"/>
    <row r="24" spans="3:6" s="27" customFormat="1" x14ac:dyDescent="0.2"/>
    <row r="25" spans="3:6" s="27" customFormat="1" x14ac:dyDescent="0.2"/>
    <row r="26" spans="3:6" s="27" customFormat="1" x14ac:dyDescent="0.2"/>
    <row r="27" spans="3:6" s="27" customFormat="1" x14ac:dyDescent="0.2"/>
  </sheetData>
  <sheetProtection algorithmName="SHA-512" hashValue="TRSz6kB3LPesEuDofVHwc676xZuUpf+Nb5W31MX2tXxo2uckty/txwKfKUIMUyFtFjbozAqVR960QiQnZFUq3w==" saltValue="q/0J/iUi/2Bh+RzF2zQ4yQ==" spinCount="100000" sheet="1" objects="1" scenarios="1"/>
  <mergeCells count="11">
    <mergeCell ref="D3:E3"/>
    <mergeCell ref="D10:E10"/>
    <mergeCell ref="D6:E6"/>
    <mergeCell ref="D11:E11"/>
    <mergeCell ref="F8:F9"/>
    <mergeCell ref="F12:F13"/>
    <mergeCell ref="C8:C9"/>
    <mergeCell ref="C12:C13"/>
    <mergeCell ref="D4:E4"/>
    <mergeCell ref="D5:E5"/>
    <mergeCell ref="D7:E7"/>
  </mergeCells>
  <phoneticPr fontId="35"/>
  <pageMargins left="0.74803149606299213" right="0.35433070866141736" top="0.19685039370078741" bottom="0.19685039370078741" header="0.51181102362204722" footer="0.51181102362204722"/>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160020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4</xdr:row>
                    <xdr:rowOff>68580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4</xdr:row>
                    <xdr:rowOff>45720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7</xdr:row>
                    <xdr:rowOff>76200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5</xdr:row>
                    <xdr:rowOff>7620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5</xdr:row>
                    <xdr:rowOff>175260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7</xdr:col>
                    <xdr:colOff>2788920</xdr:colOff>
                    <xdr:row>4</xdr:row>
                    <xdr:rowOff>190500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7</xdr:row>
                    <xdr:rowOff>76200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137160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137160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5</xdr:row>
                    <xdr:rowOff>38100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68580</xdr:colOff>
                    <xdr:row>9</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D13:E13</xm:sqref>
        </x14:dataValidation>
        <x14:dataValidation type="list" allowBlank="1" showInputMessage="1" showErrorMessage="1">
          <x14:formula1>
            <xm:f>リスト!$H$4:$H$22</xm:f>
          </x14:formula1>
          <xm:sqref>D10:E10</xm:sqref>
        </x14:dataValidation>
        <x14:dataValidation type="list" allowBlank="1" showInputMessage="1" showErrorMessage="1">
          <x14:formula1>
            <xm:f>リスト!$B$4:$B$7</xm:f>
          </x14:formula1>
          <xm:sqref>D11:E11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9"/>
  <sheetViews>
    <sheetView view="pageBreakPreview" zoomScaleNormal="100" zoomScaleSheetLayoutView="100" workbookViewId="0">
      <selection activeCell="C3" sqref="C3:D3"/>
    </sheetView>
  </sheetViews>
  <sheetFormatPr defaultColWidth="9" defaultRowHeight="13.2" x14ac:dyDescent="0.2"/>
  <cols>
    <col min="1" max="1" width="33.6640625" style="13" customWidth="1"/>
    <col min="2" max="2" width="16.88671875" style="13" customWidth="1"/>
    <col min="3" max="3" width="26.109375" style="13" customWidth="1"/>
    <col min="4" max="4" width="6.88671875" style="13" customWidth="1"/>
    <col min="5" max="16384" width="9" style="13"/>
  </cols>
  <sheetData>
    <row r="1" spans="1:9" ht="14.4" x14ac:dyDescent="0.2">
      <c r="A1" s="262" t="s">
        <v>29</v>
      </c>
      <c r="B1" s="262"/>
      <c r="C1" s="262"/>
      <c r="D1" s="262"/>
    </row>
    <row r="2" spans="1:9" ht="21" x14ac:dyDescent="0.2">
      <c r="A2" s="263" t="s">
        <v>13</v>
      </c>
      <c r="B2" s="263"/>
      <c r="C2" s="263"/>
      <c r="D2" s="263"/>
    </row>
    <row r="3" spans="1:9" ht="13.5" customHeight="1" x14ac:dyDescent="0.2">
      <c r="C3" s="267" t="s">
        <v>316</v>
      </c>
      <c r="D3" s="268"/>
    </row>
    <row r="4" spans="1:9" ht="14.4" x14ac:dyDescent="0.2">
      <c r="A4" s="11"/>
      <c r="B4" s="11"/>
    </row>
    <row r="5" spans="1:9" ht="14.4" x14ac:dyDescent="0.2">
      <c r="A5" s="262" t="s">
        <v>28</v>
      </c>
      <c r="B5" s="262"/>
      <c r="C5" s="262"/>
      <c r="D5" s="262"/>
    </row>
    <row r="6" spans="1:9" ht="14.4" x14ac:dyDescent="0.2">
      <c r="A6" s="11"/>
      <c r="B6" s="11"/>
    </row>
    <row r="7" spans="1:9" ht="20.100000000000001" customHeight="1" x14ac:dyDescent="0.2">
      <c r="A7" s="11"/>
      <c r="B7" s="17"/>
      <c r="C7" s="19"/>
    </row>
    <row r="8" spans="1:9" ht="20.100000000000001" customHeight="1" x14ac:dyDescent="0.2">
      <c r="A8" s="11"/>
      <c r="B8" s="18"/>
      <c r="C8" s="19"/>
    </row>
    <row r="9" spans="1:9" ht="20.100000000000001" customHeight="1" x14ac:dyDescent="0.2">
      <c r="B9" s="11" t="s">
        <v>14</v>
      </c>
      <c r="C9" s="20"/>
    </row>
    <row r="10" spans="1:9" ht="20.100000000000001" customHeight="1" x14ac:dyDescent="0.2">
      <c r="B10" s="12" t="s">
        <v>15</v>
      </c>
      <c r="C10" s="20"/>
    </row>
    <row r="11" spans="1:9" ht="20.100000000000001" customHeight="1" x14ac:dyDescent="0.2">
      <c r="B11" s="12" t="s">
        <v>26</v>
      </c>
      <c r="C11" s="20"/>
    </row>
    <row r="12" spans="1:9" ht="20.100000000000001" customHeight="1" x14ac:dyDescent="0.2">
      <c r="B12" s="16"/>
      <c r="C12" s="20"/>
      <c r="D12" s="13" t="s">
        <v>24</v>
      </c>
    </row>
    <row r="13" spans="1:9" ht="20.100000000000001" customHeight="1" x14ac:dyDescent="0.2">
      <c r="B13" s="12" t="s">
        <v>16</v>
      </c>
      <c r="C13" s="20"/>
      <c r="G13" s="14"/>
      <c r="H13" s="14"/>
    </row>
    <row r="14" spans="1:9" ht="20.100000000000001" customHeight="1" x14ac:dyDescent="0.2">
      <c r="B14" s="12" t="s">
        <v>27</v>
      </c>
      <c r="C14" s="20"/>
      <c r="D14" s="13" t="s">
        <v>25</v>
      </c>
    </row>
    <row r="15" spans="1:9" ht="14.4" x14ac:dyDescent="0.2">
      <c r="A15" s="11"/>
      <c r="B15" s="11"/>
    </row>
    <row r="16" spans="1:9" ht="83.25" customHeight="1" x14ac:dyDescent="0.2">
      <c r="A16" s="266" t="str">
        <f>CONCATENATE("　",TEXT('1.基本データ(このシートは削除しないこと！)'!H4,"ggge年m月d日"),"付けで公告のありました",'1.基本データ(このシートは削除しないこと！)'!H5&amp;'1.基本データ(このシートは削除しないこと！)'!H6,"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B16" s="266"/>
      <c r="C16" s="266"/>
      <c r="D16" s="266"/>
      <c r="I16" s="14"/>
    </row>
    <row r="17" spans="1:4" ht="14.25" customHeight="1" x14ac:dyDescent="0.2">
      <c r="A17" s="264" t="s">
        <v>17</v>
      </c>
      <c r="B17" s="264"/>
      <c r="C17" s="264"/>
      <c r="D17" s="264"/>
    </row>
    <row r="18" spans="1:4" ht="19.95" customHeight="1" x14ac:dyDescent="0.2">
      <c r="A18" s="265" t="s">
        <v>330</v>
      </c>
      <c r="B18" s="265"/>
      <c r="C18" s="265"/>
      <c r="D18" s="265"/>
    </row>
    <row r="19" spans="1:4" ht="19.95" customHeight="1" x14ac:dyDescent="0.2">
      <c r="A19" s="265" t="s">
        <v>331</v>
      </c>
      <c r="B19" s="265"/>
      <c r="C19" s="265"/>
      <c r="D19" s="265"/>
    </row>
    <row r="20" spans="1:4" ht="19.95" customHeight="1" x14ac:dyDescent="0.2">
      <c r="A20" s="265" t="s">
        <v>305</v>
      </c>
      <c r="B20" s="265"/>
      <c r="C20" s="265"/>
      <c r="D20" s="265"/>
    </row>
    <row r="21" spans="1:4" ht="14.25" customHeight="1" x14ac:dyDescent="0.2">
      <c r="A21" s="234"/>
      <c r="B21" s="234"/>
      <c r="C21" s="234"/>
      <c r="D21" s="234"/>
    </row>
    <row r="22" spans="1:4" ht="19.95" customHeight="1" x14ac:dyDescent="0.2">
      <c r="A22" s="265" t="s">
        <v>306</v>
      </c>
      <c r="B22" s="265"/>
      <c r="C22" s="265"/>
      <c r="D22" s="265"/>
    </row>
    <row r="23" spans="1:4" ht="19.95" customHeight="1" x14ac:dyDescent="0.2">
      <c r="A23" s="265" t="s">
        <v>332</v>
      </c>
      <c r="B23" s="265"/>
      <c r="C23" s="265"/>
      <c r="D23" s="265"/>
    </row>
    <row r="24" spans="1:4" ht="19.95" customHeight="1" x14ac:dyDescent="0.2">
      <c r="A24" s="265" t="s">
        <v>307</v>
      </c>
      <c r="B24" s="265"/>
      <c r="C24" s="265"/>
      <c r="D24" s="265"/>
    </row>
    <row r="25" spans="1:4" ht="14.25" customHeight="1" x14ac:dyDescent="0.2">
      <c r="A25" s="262"/>
      <c r="B25" s="262"/>
      <c r="C25" s="262"/>
      <c r="D25" s="262"/>
    </row>
    <row r="26" spans="1:4" ht="19.95" customHeight="1" x14ac:dyDescent="0.2">
      <c r="A26" s="262" t="s">
        <v>308</v>
      </c>
      <c r="B26" s="262"/>
      <c r="C26" s="262"/>
      <c r="D26" s="262"/>
    </row>
    <row r="27" spans="1:4" ht="19.95" customHeight="1" x14ac:dyDescent="0.2">
      <c r="A27" s="262" t="s">
        <v>18</v>
      </c>
      <c r="B27" s="262"/>
      <c r="C27" s="262"/>
      <c r="D27" s="262"/>
    </row>
    <row r="28" spans="1:4" ht="19.95" customHeight="1" x14ac:dyDescent="0.2">
      <c r="A28" s="262" t="s">
        <v>19</v>
      </c>
      <c r="B28" s="262"/>
      <c r="C28" s="262"/>
      <c r="D28" s="262"/>
    </row>
    <row r="29" spans="1:4" ht="19.95" customHeight="1" x14ac:dyDescent="0.2">
      <c r="A29" s="262" t="s">
        <v>20</v>
      </c>
      <c r="B29" s="262"/>
      <c r="C29" s="262"/>
      <c r="D29" s="262"/>
    </row>
    <row r="30" spans="1:4" ht="19.95" customHeight="1" x14ac:dyDescent="0.2">
      <c r="A30" s="262" t="s">
        <v>21</v>
      </c>
      <c r="B30" s="262"/>
      <c r="C30" s="262"/>
      <c r="D30" s="262"/>
    </row>
    <row r="31" spans="1:4" ht="14.25" customHeight="1" x14ac:dyDescent="0.2">
      <c r="A31" s="262"/>
      <c r="B31" s="262"/>
      <c r="C31" s="262"/>
      <c r="D31" s="262"/>
    </row>
    <row r="32" spans="1:4" ht="19.95" customHeight="1" x14ac:dyDescent="0.2">
      <c r="A32" s="262" t="s">
        <v>309</v>
      </c>
      <c r="B32" s="262"/>
      <c r="C32" s="262"/>
      <c r="D32" s="262"/>
    </row>
    <row r="33" spans="1:4" ht="19.95" customHeight="1" x14ac:dyDescent="0.2">
      <c r="A33" s="262" t="s">
        <v>18</v>
      </c>
      <c r="B33" s="262"/>
      <c r="C33" s="262"/>
      <c r="D33" s="262"/>
    </row>
    <row r="34" spans="1:4" ht="19.95" customHeight="1" x14ac:dyDescent="0.2">
      <c r="A34" s="262" t="s">
        <v>19</v>
      </c>
      <c r="B34" s="262"/>
      <c r="C34" s="262"/>
      <c r="D34" s="262"/>
    </row>
    <row r="35" spans="1:4" ht="19.95" customHeight="1" x14ac:dyDescent="0.2">
      <c r="A35" s="262" t="s">
        <v>20</v>
      </c>
      <c r="B35" s="262"/>
      <c r="C35" s="262"/>
      <c r="D35" s="262"/>
    </row>
    <row r="36" spans="1:4" ht="19.95" customHeight="1" x14ac:dyDescent="0.2">
      <c r="A36" s="262" t="s">
        <v>21</v>
      </c>
      <c r="B36" s="262"/>
      <c r="C36" s="262"/>
      <c r="D36" s="262"/>
    </row>
    <row r="37" spans="1:4" ht="19.95" customHeight="1" x14ac:dyDescent="0.2">
      <c r="A37" s="262" t="s">
        <v>22</v>
      </c>
      <c r="B37" s="262"/>
      <c r="C37" s="262"/>
      <c r="D37" s="262"/>
    </row>
    <row r="38" spans="1:4" ht="19.95" customHeight="1" x14ac:dyDescent="0.2">
      <c r="A38" s="262"/>
      <c r="B38" s="262"/>
      <c r="C38" s="262"/>
      <c r="D38" s="262"/>
    </row>
    <row r="39" spans="1:4" ht="19.95" customHeight="1" x14ac:dyDescent="0.2">
      <c r="A39" s="262" t="s">
        <v>23</v>
      </c>
      <c r="B39" s="262"/>
      <c r="C39" s="262"/>
      <c r="D39" s="262"/>
    </row>
  </sheetData>
  <sheetProtection algorithmName="SHA-512" hashValue="6i2TIWVrDSeJxxEN7GTvUgE3LOLwWLSm3v5HBY7MpwIkM0eTPU8J3BYvs3EG6yEKocK6mQyynmNbWdp6atMqYQ==" saltValue="VtCwwG0v3ZfkyijwE+wD1g==" spinCount="100000" sheet="1" objects="1" scenarios="1"/>
  <mergeCells count="27">
    <mergeCell ref="A37:D37"/>
    <mergeCell ref="A38:D38"/>
    <mergeCell ref="A39:D39"/>
    <mergeCell ref="A35:D35"/>
    <mergeCell ref="A23:D23"/>
    <mergeCell ref="A19:D19"/>
    <mergeCell ref="A20:D20"/>
    <mergeCell ref="A22:D22"/>
    <mergeCell ref="A36:D36"/>
    <mergeCell ref="A33:D33"/>
    <mergeCell ref="A34:D34"/>
    <mergeCell ref="A24:D24"/>
    <mergeCell ref="A25:D25"/>
    <mergeCell ref="A26:D26"/>
    <mergeCell ref="A27:D27"/>
    <mergeCell ref="A28:D28"/>
    <mergeCell ref="A29:D29"/>
    <mergeCell ref="A30:D30"/>
    <mergeCell ref="A31:D31"/>
    <mergeCell ref="A32:D32"/>
    <mergeCell ref="A1:D1"/>
    <mergeCell ref="A2:D2"/>
    <mergeCell ref="A5:D5"/>
    <mergeCell ref="A17:D17"/>
    <mergeCell ref="A18:D18"/>
    <mergeCell ref="A16:D16"/>
    <mergeCell ref="C3:D3"/>
  </mergeCells>
  <phoneticPr fontId="35"/>
  <pageMargins left="0.9055118110236221" right="0.905511811023622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0</xdr:colOff>
                    <xdr:row>17</xdr:row>
                    <xdr:rowOff>7620</xdr:rowOff>
                  </from>
                  <to>
                    <xdr:col>0</xdr:col>
                    <xdr:colOff>495300</xdr:colOff>
                    <xdr:row>18</xdr:row>
                    <xdr:rowOff>7620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0</xdr:colOff>
                    <xdr:row>21</xdr:row>
                    <xdr:rowOff>22860</xdr:rowOff>
                  </from>
                  <to>
                    <xdr:col>0</xdr:col>
                    <xdr:colOff>495300</xdr:colOff>
                    <xdr:row>22</xdr:row>
                    <xdr:rowOff>15240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0</xdr:col>
                    <xdr:colOff>0</xdr:colOff>
                    <xdr:row>25</xdr:row>
                    <xdr:rowOff>7620</xdr:rowOff>
                  </from>
                  <to>
                    <xdr:col>0</xdr:col>
                    <xdr:colOff>495300</xdr:colOff>
                    <xdr:row>26</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0</xdr:col>
                    <xdr:colOff>0</xdr:colOff>
                    <xdr:row>31</xdr:row>
                    <xdr:rowOff>7620</xdr:rowOff>
                  </from>
                  <to>
                    <xdr:col>0</xdr:col>
                    <xdr:colOff>495300</xdr:colOff>
                    <xdr:row>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0"/>
  <sheetViews>
    <sheetView showGridLines="0" view="pageBreakPreview" zoomScaleNormal="60" zoomScaleSheetLayoutView="100" workbookViewId="0">
      <pane ySplit="1" topLeftCell="A2" activePane="bottomLeft" state="frozen"/>
      <selection pane="bottomLeft" activeCell="H6" sqref="H6"/>
    </sheetView>
  </sheetViews>
  <sheetFormatPr defaultRowHeight="13.2" x14ac:dyDescent="0.2"/>
  <cols>
    <col min="1" max="1" width="2" customWidth="1"/>
    <col min="2" max="3" width="3.44140625" customWidth="1"/>
    <col min="4" max="4" width="14" customWidth="1"/>
    <col min="5" max="5" width="5.77734375" customWidth="1"/>
    <col min="6" max="6" width="6.21875" customWidth="1"/>
    <col min="7" max="7" width="24.44140625" customWidth="1"/>
    <col min="8" max="8" width="23.77734375" customWidth="1"/>
    <col min="9" max="9" width="16.77734375" customWidth="1"/>
    <col min="10" max="10" width="21.109375" customWidth="1"/>
    <col min="11" max="12" width="9" customWidth="1"/>
    <col min="13" max="13" width="25" customWidth="1"/>
    <col min="14" max="14" width="10.6640625" customWidth="1"/>
    <col min="15" max="15" width="14" customWidth="1"/>
    <col min="16" max="17" width="9" customWidth="1"/>
    <col min="18" max="20" width="9.44140625" customWidth="1"/>
    <col min="21" max="21" width="10.33203125" customWidth="1"/>
    <col min="22" max="22" width="11.6640625" customWidth="1"/>
    <col min="23" max="23" width="11.77734375" customWidth="1"/>
    <col min="24" max="24" width="9.44140625" customWidth="1"/>
    <col min="25" max="25" width="12.88671875" customWidth="1"/>
    <col min="27" max="27" width="12.88671875" customWidth="1"/>
    <col min="28" max="28" width="12.77734375" customWidth="1"/>
    <col min="29" max="29" width="12.21875" customWidth="1"/>
    <col min="30" max="30" width="11.44140625" customWidth="1"/>
    <col min="33" max="33" width="11.6640625" customWidth="1"/>
    <col min="34" max="34" width="12.109375" customWidth="1"/>
    <col min="36" max="36" width="12.33203125" customWidth="1"/>
  </cols>
  <sheetData>
    <row r="1" spans="1:33" ht="24.75" customHeight="1" thickTop="1" thickBot="1" x14ac:dyDescent="0.25">
      <c r="A1" s="4"/>
      <c r="B1" s="8"/>
      <c r="C1" s="8"/>
      <c r="D1" s="9"/>
      <c r="E1" s="9"/>
      <c r="F1" s="9"/>
      <c r="G1" s="9"/>
      <c r="H1" s="358" t="s">
        <v>10</v>
      </c>
      <c r="I1" s="359"/>
      <c r="J1" s="15" t="e">
        <f>SUM(F6:F51)</f>
        <v>#N/A</v>
      </c>
    </row>
    <row r="2" spans="1:33" ht="14.25" customHeight="1" thickTop="1" x14ac:dyDescent="0.2">
      <c r="A2" s="1"/>
      <c r="B2" s="363" t="s">
        <v>334</v>
      </c>
      <c r="C2" s="363"/>
      <c r="D2" s="363"/>
      <c r="E2" s="363"/>
      <c r="F2" s="363"/>
      <c r="G2" s="363"/>
      <c r="H2" s="10"/>
      <c r="J2" s="179" t="s">
        <v>299</v>
      </c>
    </row>
    <row r="3" spans="1:33" ht="16.5" customHeight="1" x14ac:dyDescent="0.2">
      <c r="A3" s="1"/>
      <c r="B3" s="296" t="s">
        <v>169</v>
      </c>
      <c r="C3" s="296"/>
      <c r="D3" s="296"/>
      <c r="E3" s="360" t="str">
        <f>'1.基本データ(このシートは削除しないこと！)'!H5&amp;'1.基本データ(このシートは削除しないこと！)'!H6</f>
        <v>第○○-○○○○○-○○○○号 ○○○○○○○○○○○○○○工事</v>
      </c>
      <c r="F3" s="360"/>
      <c r="G3" s="360"/>
      <c r="H3" s="360"/>
      <c r="I3" s="360"/>
    </row>
    <row r="4" spans="1:33" ht="16.5" customHeight="1" thickBot="1" x14ac:dyDescent="0.25">
      <c r="A4" s="1"/>
      <c r="B4" s="2"/>
      <c r="C4" s="2"/>
      <c r="D4" s="132" t="s">
        <v>170</v>
      </c>
      <c r="E4" s="52" t="str">
        <f>'1.基本データ(このシートは削除しないこと！)'!H7</f>
        <v>(株)○○建設</v>
      </c>
      <c r="F4" s="1"/>
      <c r="G4" s="1"/>
      <c r="H4" s="1"/>
      <c r="I4" s="1"/>
      <c r="J4" s="1"/>
    </row>
    <row r="5" spans="1:33" ht="22.5" customHeight="1" thickBot="1" x14ac:dyDescent="0.25">
      <c r="A5" s="1"/>
      <c r="B5" s="361" t="s">
        <v>5</v>
      </c>
      <c r="C5" s="361"/>
      <c r="D5" s="361"/>
      <c r="E5" s="103" t="s">
        <v>202</v>
      </c>
      <c r="F5" s="42" t="s">
        <v>9</v>
      </c>
      <c r="G5" s="364" t="s">
        <v>261</v>
      </c>
      <c r="H5" s="365"/>
      <c r="I5" s="366"/>
      <c r="J5" s="367"/>
      <c r="M5" s="44" t="s">
        <v>162</v>
      </c>
      <c r="S5" s="46"/>
      <c r="T5" s="46"/>
      <c r="U5" s="105" t="s">
        <v>204</v>
      </c>
      <c r="V5" s="72" t="s">
        <v>205</v>
      </c>
      <c r="X5" s="46"/>
      <c r="Y5" s="46"/>
      <c r="AG5" s="118" t="s">
        <v>206</v>
      </c>
    </row>
    <row r="6" spans="1:33" ht="32.1" customHeight="1" thickBot="1" x14ac:dyDescent="0.25">
      <c r="A6" s="1"/>
      <c r="B6" s="300" t="s">
        <v>265</v>
      </c>
      <c r="C6" s="368" t="s">
        <v>8</v>
      </c>
      <c r="D6" s="369"/>
      <c r="E6" s="372">
        <f>U6</f>
        <v>2</v>
      </c>
      <c r="F6" s="362">
        <f>IF(P6=0,"-",AG6)</f>
        <v>0</v>
      </c>
      <c r="G6" s="54" t="s">
        <v>167</v>
      </c>
      <c r="H6" s="55"/>
      <c r="I6" s="377" t="s">
        <v>271</v>
      </c>
      <c r="J6" s="374"/>
      <c r="M6" s="3">
        <f>IF(H6="",0,1)</f>
        <v>0</v>
      </c>
      <c r="N6" s="3">
        <f>IF(J6="",0,1)</f>
        <v>0</v>
      </c>
      <c r="O6" s="142"/>
      <c r="P6" s="130">
        <f>SUM(M6:O8)</f>
        <v>1</v>
      </c>
      <c r="Q6" s="68" t="s">
        <v>251</v>
      </c>
      <c r="R6" s="108" t="s">
        <v>37</v>
      </c>
      <c r="S6" s="73"/>
      <c r="T6" s="107">
        <f>IF($H$7=R6,1,0)</f>
        <v>0</v>
      </c>
      <c r="U6" s="106">
        <v>2</v>
      </c>
      <c r="V6" s="51">
        <f>T6*U6</f>
        <v>0</v>
      </c>
      <c r="X6" s="47"/>
      <c r="Y6" s="47"/>
      <c r="AG6" s="117">
        <f>IF(P6=4,MAX(V6:V8),0)</f>
        <v>0</v>
      </c>
    </row>
    <row r="7" spans="1:33" ht="32.1" customHeight="1" thickBot="1" x14ac:dyDescent="0.25">
      <c r="A7" s="1"/>
      <c r="B7" s="301"/>
      <c r="C7" s="370"/>
      <c r="D7" s="371"/>
      <c r="E7" s="373"/>
      <c r="F7" s="362"/>
      <c r="G7" s="189" t="s">
        <v>294</v>
      </c>
      <c r="H7" s="143" t="s">
        <v>201</v>
      </c>
      <c r="I7" s="378"/>
      <c r="J7" s="375"/>
      <c r="M7" s="3">
        <f>IF(H7="",0,1)</f>
        <v>1</v>
      </c>
      <c r="N7" s="140"/>
      <c r="O7" s="7"/>
      <c r="P7" s="7"/>
      <c r="Q7" s="68"/>
      <c r="R7" s="108" t="s">
        <v>43</v>
      </c>
      <c r="S7" s="73"/>
      <c r="T7" s="107">
        <f>IF($H$7=R7,1,0)</f>
        <v>0</v>
      </c>
      <c r="U7" s="106">
        <v>1.5</v>
      </c>
      <c r="V7" s="51">
        <f>T7*U7</f>
        <v>0</v>
      </c>
      <c r="X7" s="47"/>
      <c r="Y7" s="47"/>
      <c r="AG7" s="50"/>
    </row>
    <row r="8" spans="1:33" ht="32.1" customHeight="1" thickBot="1" x14ac:dyDescent="0.25">
      <c r="A8" s="1"/>
      <c r="B8" s="301"/>
      <c r="C8" s="370"/>
      <c r="D8" s="371"/>
      <c r="E8" s="373"/>
      <c r="F8" s="362"/>
      <c r="G8" s="190" t="s">
        <v>250</v>
      </c>
      <c r="H8" s="139"/>
      <c r="I8" s="379"/>
      <c r="J8" s="376"/>
      <c r="M8" s="3">
        <f>IF(H8="",0,1)</f>
        <v>0</v>
      </c>
      <c r="N8" s="141"/>
      <c r="O8" s="7"/>
      <c r="P8" s="7"/>
      <c r="R8" s="108" t="s">
        <v>46</v>
      </c>
      <c r="S8" s="73"/>
      <c r="T8" s="107">
        <f>IF($H$7=R8,1,0)</f>
        <v>0</v>
      </c>
      <c r="U8" s="106">
        <v>0.5</v>
      </c>
      <c r="V8" s="51">
        <f>T8*U8</f>
        <v>0</v>
      </c>
      <c r="X8" s="47"/>
      <c r="Y8" s="47"/>
    </row>
    <row r="9" spans="1:33" ht="32.1" customHeight="1" thickBot="1" x14ac:dyDescent="0.25">
      <c r="A9" s="1"/>
      <c r="B9" s="301"/>
      <c r="C9" s="368" t="s">
        <v>31</v>
      </c>
      <c r="D9" s="369"/>
      <c r="E9" s="372">
        <f>U10</f>
        <v>1.5</v>
      </c>
      <c r="F9" s="372">
        <f>IF(P9=0,"-",AG10)</f>
        <v>0</v>
      </c>
      <c r="G9" s="53" t="s">
        <v>166</v>
      </c>
      <c r="H9" s="143"/>
      <c r="I9" s="191" t="s">
        <v>267</v>
      </c>
      <c r="J9" s="56"/>
      <c r="M9" s="3">
        <f>IF(H9="",0,1)</f>
        <v>0</v>
      </c>
      <c r="N9" s="3">
        <f>IF(J9='1.基本データ(このシートは削除しないこと！)'!D10,1,0)</f>
        <v>1</v>
      </c>
      <c r="O9" s="142"/>
      <c r="P9" s="130">
        <f>SUM(M9:N10)</f>
        <v>1</v>
      </c>
      <c r="Q9" s="68" t="s">
        <v>295</v>
      </c>
      <c r="S9" s="47"/>
      <c r="T9" s="47"/>
      <c r="U9" s="105" t="s">
        <v>197</v>
      </c>
      <c r="V9" s="101" t="s">
        <v>180</v>
      </c>
      <c r="X9" s="47"/>
      <c r="Y9" s="47"/>
      <c r="AG9" s="118" t="s">
        <v>200</v>
      </c>
    </row>
    <row r="10" spans="1:33" ht="32.1" customHeight="1" thickBot="1" x14ac:dyDescent="0.25">
      <c r="A10" s="1"/>
      <c r="B10" s="301"/>
      <c r="C10" s="370"/>
      <c r="D10" s="371"/>
      <c r="E10" s="373"/>
      <c r="F10" s="373"/>
      <c r="G10" s="54" t="s">
        <v>296</v>
      </c>
      <c r="H10" s="57"/>
      <c r="I10" s="192" t="s">
        <v>312</v>
      </c>
      <c r="J10" s="56" t="s">
        <v>201</v>
      </c>
      <c r="M10" s="3">
        <f>IF(AND(H10&gt;='1.基本データ(このシートは削除しないこと！)'!D8,H10&lt;='1.基本データ(このシートは削除しないこと！)'!D9),1,0)</f>
        <v>0</v>
      </c>
      <c r="N10" s="3">
        <f>IF(J10="-",0,1)</f>
        <v>0</v>
      </c>
      <c r="O10" s="7"/>
      <c r="R10" s="109" t="s">
        <v>159</v>
      </c>
      <c r="S10" s="110"/>
      <c r="T10" s="107">
        <f>IF($J$10=R10,1,0)</f>
        <v>0</v>
      </c>
      <c r="U10" s="3">
        <v>1.5</v>
      </c>
      <c r="V10" s="106">
        <f>T10*U10</f>
        <v>0</v>
      </c>
      <c r="X10" s="109" t="s">
        <v>160</v>
      </c>
      <c r="Y10" s="110"/>
      <c r="Z10" s="107">
        <f>IF($J$10=X10,1,0)</f>
        <v>0</v>
      </c>
      <c r="AA10" s="3">
        <v>1</v>
      </c>
      <c r="AB10" s="106">
        <f>Z10*AA10</f>
        <v>0</v>
      </c>
      <c r="AG10" s="117">
        <f>IF(P9=4,MAX(V10,AB10),0)</f>
        <v>0</v>
      </c>
    </row>
    <row r="11" spans="1:33" ht="32.1" customHeight="1" thickBot="1" x14ac:dyDescent="0.25">
      <c r="A11" s="1"/>
      <c r="B11" s="380"/>
      <c r="C11" s="275" t="s">
        <v>286</v>
      </c>
      <c r="D11" s="276"/>
      <c r="E11" s="235">
        <f t="shared" ref="E11" si="0">U11</f>
        <v>0.25</v>
      </c>
      <c r="F11" s="236" t="str">
        <f t="shared" ref="F11" si="1">AG11</f>
        <v>-</v>
      </c>
      <c r="G11" s="297" t="s">
        <v>310</v>
      </c>
      <c r="H11" s="298"/>
      <c r="I11" s="299"/>
      <c r="J11" s="123" t="s">
        <v>201</v>
      </c>
      <c r="M11" s="3">
        <f>IF(J11="有",1,0)</f>
        <v>0</v>
      </c>
      <c r="N11" s="7"/>
      <c r="O11" s="7"/>
      <c r="U11" s="106">
        <v>0.25</v>
      </c>
      <c r="V11" s="164"/>
      <c r="X11" s="47"/>
      <c r="Y11" s="47"/>
      <c r="AG11" s="177" t="str">
        <f>IF(M11=1,U11,"-")</f>
        <v>-</v>
      </c>
    </row>
    <row r="12" spans="1:33" ht="32.1" customHeight="1" thickBot="1" x14ac:dyDescent="0.25">
      <c r="A12" s="1"/>
      <c r="B12" s="301"/>
      <c r="C12" s="385" t="s">
        <v>1</v>
      </c>
      <c r="D12" s="386"/>
      <c r="E12" s="161"/>
      <c r="F12" s="161"/>
      <c r="G12" s="102" t="s">
        <v>264</v>
      </c>
      <c r="H12" s="143"/>
      <c r="I12" s="381"/>
      <c r="J12" s="382"/>
      <c r="M12" s="130">
        <f t="shared" ref="M12:M19" si="2">IF(H12="",0,1)</f>
        <v>0</v>
      </c>
      <c r="N12" t="s">
        <v>266</v>
      </c>
      <c r="U12" s="105" t="s">
        <v>197</v>
      </c>
      <c r="V12" s="105" t="s">
        <v>180</v>
      </c>
      <c r="AG12" s="118" t="s">
        <v>200</v>
      </c>
    </row>
    <row r="13" spans="1:33" ht="32.1" customHeight="1" thickBot="1" x14ac:dyDescent="0.25">
      <c r="A13" s="1"/>
      <c r="B13" s="301"/>
      <c r="C13" s="368" t="s">
        <v>2</v>
      </c>
      <c r="D13" s="369"/>
      <c r="E13" s="362">
        <f>U13</f>
        <v>0.5</v>
      </c>
      <c r="F13" s="362" t="str">
        <f>IF(P13=0,"-",AG13)</f>
        <v>-</v>
      </c>
      <c r="G13" s="193" t="s">
        <v>167</v>
      </c>
      <c r="H13" s="55"/>
      <c r="I13" s="388" t="s">
        <v>271</v>
      </c>
      <c r="J13" s="374"/>
      <c r="M13" s="62">
        <f t="shared" si="2"/>
        <v>0</v>
      </c>
      <c r="N13" s="3">
        <f>IF(J13="",0,1)</f>
        <v>0</v>
      </c>
      <c r="O13" s="142"/>
      <c r="P13" s="130">
        <f>SUM(M13:N16)</f>
        <v>0</v>
      </c>
      <c r="Q13" s="68" t="s">
        <v>302</v>
      </c>
      <c r="S13" s="48"/>
      <c r="T13" s="48"/>
      <c r="U13" s="106">
        <v>0.5</v>
      </c>
      <c r="V13" s="144">
        <f>IF(P13=5,U13*M$12,0)</f>
        <v>0</v>
      </c>
      <c r="X13" s="48"/>
      <c r="Y13" s="48"/>
      <c r="AG13" s="154">
        <f>IF(P13=5,V13,0)</f>
        <v>0</v>
      </c>
    </row>
    <row r="14" spans="1:33" ht="16.05" customHeight="1" thickBot="1" x14ac:dyDescent="0.25">
      <c r="A14" s="1"/>
      <c r="B14" s="301"/>
      <c r="C14" s="370"/>
      <c r="D14" s="371"/>
      <c r="E14" s="362"/>
      <c r="F14" s="362"/>
      <c r="G14" s="202" t="s">
        <v>313</v>
      </c>
      <c r="H14" s="143"/>
      <c r="I14" s="389"/>
      <c r="J14" s="375"/>
      <c r="M14" s="3">
        <f t="shared" si="2"/>
        <v>0</v>
      </c>
      <c r="N14" s="140"/>
      <c r="O14" s="7"/>
      <c r="S14" s="48"/>
      <c r="T14" s="48"/>
      <c r="V14" s="48"/>
      <c r="X14" s="48"/>
      <c r="Y14" s="48"/>
    </row>
    <row r="15" spans="1:33" ht="16.05" customHeight="1" thickBot="1" x14ac:dyDescent="0.25">
      <c r="A15" s="1"/>
      <c r="B15" s="301"/>
      <c r="C15" s="370"/>
      <c r="D15" s="371"/>
      <c r="E15" s="362"/>
      <c r="F15" s="362"/>
      <c r="G15" s="189" t="s">
        <v>301</v>
      </c>
      <c r="H15" s="143"/>
      <c r="I15" s="389"/>
      <c r="J15" s="375"/>
      <c r="M15" s="3">
        <f t="shared" si="2"/>
        <v>0</v>
      </c>
      <c r="N15" s="5"/>
      <c r="O15" s="7"/>
      <c r="S15" s="48"/>
      <c r="T15" s="48"/>
      <c r="V15" s="48"/>
      <c r="X15" s="48"/>
      <c r="Y15" s="48"/>
    </row>
    <row r="16" spans="1:33" ht="32.1" customHeight="1" thickBot="1" x14ac:dyDescent="0.25">
      <c r="A16" s="1"/>
      <c r="B16" s="301"/>
      <c r="C16" s="385"/>
      <c r="D16" s="386"/>
      <c r="E16" s="362"/>
      <c r="F16" s="362"/>
      <c r="G16" s="190" t="s">
        <v>250</v>
      </c>
      <c r="H16" s="139"/>
      <c r="I16" s="390"/>
      <c r="J16" s="376"/>
      <c r="M16" s="3">
        <f t="shared" si="2"/>
        <v>0</v>
      </c>
      <c r="N16" s="141"/>
      <c r="O16" s="7"/>
      <c r="S16" s="48"/>
      <c r="T16" s="48"/>
      <c r="U16" s="105" t="s">
        <v>197</v>
      </c>
      <c r="V16" s="105" t="s">
        <v>180</v>
      </c>
      <c r="X16" s="48"/>
      <c r="Y16" s="48"/>
      <c r="AG16" s="118" t="s">
        <v>200</v>
      </c>
    </row>
    <row r="17" spans="1:41" ht="32.1" customHeight="1" thickBot="1" x14ac:dyDescent="0.25">
      <c r="A17" s="1"/>
      <c r="B17" s="301"/>
      <c r="C17" s="368" t="s">
        <v>224</v>
      </c>
      <c r="D17" s="369"/>
      <c r="E17" s="362">
        <f>U17</f>
        <v>0.5</v>
      </c>
      <c r="F17" s="362" t="str">
        <f>IF(P17=0,"-",AG17)</f>
        <v>-</v>
      </c>
      <c r="G17" s="189" t="s">
        <v>166</v>
      </c>
      <c r="H17" s="143"/>
      <c r="I17" s="388" t="s">
        <v>271</v>
      </c>
      <c r="J17" s="374"/>
      <c r="M17" s="3">
        <f t="shared" si="2"/>
        <v>0</v>
      </c>
      <c r="N17" s="3">
        <f>IF(J17="",0,1)</f>
        <v>0</v>
      </c>
      <c r="O17" s="142"/>
      <c r="P17" s="130">
        <f>SUM(M17:N20)</f>
        <v>0</v>
      </c>
      <c r="Q17" s="68" t="s">
        <v>303</v>
      </c>
      <c r="S17" s="48"/>
      <c r="T17" s="48"/>
      <c r="U17" s="106">
        <v>0.5</v>
      </c>
      <c r="V17" s="144">
        <f>IF(P17=5,U17*M$12,0)</f>
        <v>0</v>
      </c>
      <c r="X17" s="48"/>
      <c r="Y17" s="48"/>
      <c r="AG17" s="154">
        <f>IF(P17=5,V17,0)</f>
        <v>0</v>
      </c>
    </row>
    <row r="18" spans="1:41" ht="16.05" customHeight="1" thickBot="1" x14ac:dyDescent="0.25">
      <c r="A18" s="1"/>
      <c r="B18" s="301"/>
      <c r="C18" s="370"/>
      <c r="D18" s="371"/>
      <c r="E18" s="362"/>
      <c r="F18" s="362"/>
      <c r="G18" s="189" t="s">
        <v>314</v>
      </c>
      <c r="H18" s="143"/>
      <c r="I18" s="389"/>
      <c r="J18" s="375"/>
      <c r="M18" s="3">
        <f t="shared" si="2"/>
        <v>0</v>
      </c>
      <c r="N18" s="140"/>
      <c r="O18" s="7"/>
      <c r="S18" s="48"/>
      <c r="T18" s="48"/>
      <c r="V18" s="48"/>
      <c r="X18" s="48"/>
      <c r="Y18" s="48"/>
    </row>
    <row r="19" spans="1:41" ht="16.05" customHeight="1" thickBot="1" x14ac:dyDescent="0.25">
      <c r="A19" s="1"/>
      <c r="B19" s="301"/>
      <c r="C19" s="370"/>
      <c r="D19" s="371"/>
      <c r="E19" s="362"/>
      <c r="F19" s="362"/>
      <c r="G19" s="189" t="s">
        <v>301</v>
      </c>
      <c r="H19" s="143"/>
      <c r="I19" s="389"/>
      <c r="J19" s="375"/>
      <c r="M19" s="3">
        <f t="shared" si="2"/>
        <v>0</v>
      </c>
      <c r="N19" s="5"/>
      <c r="O19" s="7"/>
      <c r="S19" s="48"/>
      <c r="T19" s="48"/>
      <c r="V19" s="48"/>
      <c r="X19" s="48"/>
      <c r="Y19" s="48"/>
    </row>
    <row r="20" spans="1:41" ht="32.1" customHeight="1" thickBot="1" x14ac:dyDescent="0.25">
      <c r="A20" s="1"/>
      <c r="B20" s="302"/>
      <c r="C20" s="385"/>
      <c r="D20" s="386"/>
      <c r="E20" s="362"/>
      <c r="F20" s="362"/>
      <c r="G20" s="193" t="s">
        <v>298</v>
      </c>
      <c r="H20" s="178"/>
      <c r="I20" s="390"/>
      <c r="J20" s="376"/>
      <c r="M20" s="3">
        <f>IF(H20&gt;=80,1,0)</f>
        <v>0</v>
      </c>
      <c r="N20" s="5" t="s">
        <v>297</v>
      </c>
      <c r="O20" s="7"/>
      <c r="S20" s="48"/>
      <c r="T20" s="48"/>
      <c r="U20" s="165"/>
      <c r="V20" s="165"/>
      <c r="W20" s="48"/>
      <c r="X20" s="48"/>
      <c r="Y20" s="48"/>
      <c r="AD20" s="111"/>
    </row>
    <row r="21" spans="1:41" x14ac:dyDescent="0.2">
      <c r="A21" s="1"/>
      <c r="B21" s="295" t="s">
        <v>3</v>
      </c>
      <c r="C21" s="295"/>
      <c r="D21" s="295"/>
      <c r="E21" s="295"/>
      <c r="F21" s="295"/>
      <c r="G21" s="295"/>
      <c r="H21" s="295"/>
      <c r="I21" s="295"/>
      <c r="J21" s="295"/>
    </row>
    <row r="22" spans="1:41" x14ac:dyDescent="0.2">
      <c r="A22" s="1"/>
      <c r="B22" s="295" t="s">
        <v>333</v>
      </c>
      <c r="C22" s="295"/>
      <c r="D22" s="295"/>
      <c r="E22" s="295"/>
      <c r="F22" s="295"/>
      <c r="G22" s="295"/>
      <c r="H22" s="295"/>
      <c r="I22" s="295"/>
      <c r="J22" s="295"/>
      <c r="X22" s="24"/>
    </row>
    <row r="23" spans="1:41" x14ac:dyDescent="0.2">
      <c r="A23" s="1"/>
      <c r="B23" s="295" t="s">
        <v>4</v>
      </c>
      <c r="C23" s="295"/>
      <c r="D23" s="295"/>
      <c r="E23" s="295"/>
      <c r="F23" s="295"/>
      <c r="G23" s="295"/>
      <c r="H23" s="295"/>
      <c r="I23" s="295"/>
      <c r="J23" s="295"/>
      <c r="X23" s="24"/>
      <c r="Y23" s="24"/>
      <c r="Z23" s="24"/>
      <c r="AA23" s="24"/>
      <c r="AB23" s="24"/>
    </row>
    <row r="24" spans="1:41" ht="13.5" customHeight="1" x14ac:dyDescent="0.2">
      <c r="A24" s="1"/>
      <c r="B24" s="286"/>
      <c r="C24" s="286"/>
      <c r="D24" s="286"/>
      <c r="E24" s="286"/>
      <c r="F24" s="286"/>
      <c r="G24" s="286"/>
      <c r="H24" s="286"/>
      <c r="I24" s="286"/>
      <c r="J24" s="286"/>
      <c r="X24" s="24"/>
      <c r="Y24" s="24"/>
      <c r="Z24" s="24"/>
      <c r="AA24" s="24"/>
      <c r="AB24" s="24"/>
    </row>
    <row r="25" spans="1:41" x14ac:dyDescent="0.2">
      <c r="A25" s="1"/>
      <c r="B25" s="391"/>
      <c r="C25" s="391"/>
      <c r="D25" s="391"/>
      <c r="E25" s="391"/>
      <c r="F25" s="391"/>
      <c r="G25" s="391"/>
      <c r="H25" s="391"/>
      <c r="I25" s="391"/>
      <c r="J25" s="391"/>
      <c r="M25" s="7"/>
      <c r="N25" s="7"/>
      <c r="O25" s="7"/>
      <c r="P25" s="7"/>
      <c r="Q25" s="7"/>
      <c r="R25" s="7"/>
      <c r="S25" s="7"/>
      <c r="T25" s="125"/>
      <c r="U25" s="126"/>
      <c r="V25" s="127"/>
      <c r="W25" s="128"/>
      <c r="X25" s="65"/>
    </row>
    <row r="26" spans="1:41" ht="14.25" customHeight="1" x14ac:dyDescent="0.2">
      <c r="A26" s="1"/>
      <c r="B26" s="237" t="s">
        <v>335</v>
      </c>
      <c r="C26" s="124"/>
      <c r="D26" s="124"/>
      <c r="E26" s="124"/>
      <c r="F26" s="124"/>
      <c r="G26" s="124"/>
      <c r="H26" s="124"/>
      <c r="J26" s="179" t="s">
        <v>299</v>
      </c>
      <c r="AD26" s="24"/>
      <c r="AE26" s="24"/>
      <c r="AF26" s="24"/>
    </row>
    <row r="27" spans="1:41" ht="16.5" customHeight="1" x14ac:dyDescent="0.2">
      <c r="A27" s="1"/>
      <c r="B27" s="296" t="s">
        <v>169</v>
      </c>
      <c r="C27" s="296"/>
      <c r="D27" s="296"/>
      <c r="E27" s="360" t="str">
        <f>'1.基本データ(このシートは削除しないこと！)'!H5&amp;'1.基本データ(このシートは削除しないこと！)'!H6</f>
        <v>第○○-○○○○○-○○○○号 ○○○○○○○○○○○○○○工事</v>
      </c>
      <c r="F27" s="360"/>
      <c r="G27" s="360"/>
      <c r="H27" s="360"/>
      <c r="I27" s="360"/>
      <c r="M27" s="7"/>
      <c r="N27" s="7"/>
      <c r="O27" s="7"/>
      <c r="U27" s="162"/>
      <c r="V27" s="163"/>
      <c r="AC27" s="21" t="s">
        <v>197</v>
      </c>
      <c r="AN27" s="65"/>
      <c r="AO27" s="7"/>
    </row>
    <row r="28" spans="1:41" ht="16.5" customHeight="1" thickBot="1" x14ac:dyDescent="0.25">
      <c r="A28" s="1"/>
      <c r="B28" s="2"/>
      <c r="C28" s="2"/>
      <c r="D28" s="132" t="s">
        <v>170</v>
      </c>
      <c r="E28" s="52" t="str">
        <f>'1.基本データ(このシートは削除しないこと！)'!H7</f>
        <v>(株)○○建設</v>
      </c>
      <c r="F28" s="1"/>
      <c r="G28" s="1"/>
      <c r="H28" s="1"/>
      <c r="I28" s="1"/>
      <c r="J28" s="1"/>
      <c r="S28" s="49"/>
      <c r="T28" s="135" t="s">
        <v>244</v>
      </c>
      <c r="U28" s="166">
        <v>1</v>
      </c>
      <c r="V28" s="167">
        <f>M30*U28</f>
        <v>0</v>
      </c>
      <c r="W28" s="168" t="str">
        <f>IF('1.基本データ(このシートは削除しないこと！)'!H10=1,MAX(V28:V29),"-")</f>
        <v>-</v>
      </c>
      <c r="Z28" s="3">
        <v>0</v>
      </c>
      <c r="AA28" s="45"/>
      <c r="AB28" s="45"/>
      <c r="AC28" s="6">
        <v>0</v>
      </c>
      <c r="AI28" s="24" t="s">
        <v>229</v>
      </c>
      <c r="AO28" s="7"/>
    </row>
    <row r="29" spans="1:41" ht="22.5" customHeight="1" thickBot="1" x14ac:dyDescent="0.25">
      <c r="A29" s="1"/>
      <c r="B29" s="285" t="s">
        <v>0</v>
      </c>
      <c r="C29" s="285"/>
      <c r="D29" s="285"/>
      <c r="E29" s="103" t="s">
        <v>202</v>
      </c>
      <c r="F29" s="42" t="s">
        <v>9</v>
      </c>
      <c r="G29" s="285" t="s">
        <v>262</v>
      </c>
      <c r="H29" s="285"/>
      <c r="I29" s="285"/>
      <c r="J29" s="387"/>
      <c r="T29" s="136" t="s">
        <v>245</v>
      </c>
      <c r="U29" s="169">
        <v>0.5</v>
      </c>
      <c r="V29" s="170">
        <f>N30*U29</f>
        <v>0</v>
      </c>
      <c r="W29" s="171"/>
      <c r="Z29" s="3">
        <v>41</v>
      </c>
      <c r="AA29" s="3" t="s">
        <v>175</v>
      </c>
      <c r="AB29" s="3" t="s">
        <v>178</v>
      </c>
      <c r="AC29" s="6">
        <v>4</v>
      </c>
      <c r="AG29" s="118" t="s">
        <v>200</v>
      </c>
      <c r="AI29" s="21" t="s">
        <v>256</v>
      </c>
      <c r="AJ29" s="21" t="s">
        <v>181</v>
      </c>
      <c r="AO29" s="65"/>
    </row>
    <row r="30" spans="1:41" ht="32.1" customHeight="1" thickBot="1" x14ac:dyDescent="0.25">
      <c r="A30" s="1"/>
      <c r="B30" s="300" t="s">
        <v>225</v>
      </c>
      <c r="C30" s="383" t="s">
        <v>345</v>
      </c>
      <c r="D30" s="384"/>
      <c r="E30" s="43">
        <f>U28</f>
        <v>1</v>
      </c>
      <c r="F30" s="43" t="str">
        <f>AG30</f>
        <v>-</v>
      </c>
      <c r="G30" s="58" t="s">
        <v>232</v>
      </c>
      <c r="H30" s="303" t="s">
        <v>201</v>
      </c>
      <c r="I30" s="304"/>
      <c r="J30" s="305"/>
      <c r="M30" s="3">
        <f>IF(AND('1.基本データ(このシートは削除しないこと！)'!$H$10=1,'3.様式第11号-1(特別簡易型)'!$H$30=リスト!K9),1,0)</f>
        <v>0</v>
      </c>
      <c r="N30" s="3">
        <f>IF(AND('1.基本データ(このシートは削除しないこと！)'!$H$10=1,'3.様式第11号-1(特別簡易型)'!$H$30=リスト!K10),1,0)</f>
        <v>0</v>
      </c>
      <c r="O30" s="3">
        <f>IF(AND('1.基本データ(このシートは削除しないこと！)'!$H$10=10,'3.様式第11号-1(特別簡易型)'!$H$30=リスト!K11),1,0)</f>
        <v>0</v>
      </c>
      <c r="P30">
        <f>SUM(M30:O30)</f>
        <v>0</v>
      </c>
      <c r="Q30" s="68" t="s">
        <v>243</v>
      </c>
      <c r="T30" s="137" t="s">
        <v>246</v>
      </c>
      <c r="U30" s="172">
        <v>1</v>
      </c>
      <c r="V30" s="173">
        <f>O30*U30</f>
        <v>0</v>
      </c>
      <c r="W30" s="174">
        <f>IF('1.基本データ(このシートは削除しないこと！)'!H10=10,V30,"-")</f>
        <v>0</v>
      </c>
      <c r="Z30" s="3">
        <v>40</v>
      </c>
      <c r="AA30" s="3" t="s">
        <v>175</v>
      </c>
      <c r="AB30" s="3" t="s">
        <v>179</v>
      </c>
      <c r="AC30" s="6">
        <v>3</v>
      </c>
      <c r="AE30" s="67" t="s">
        <v>239</v>
      </c>
      <c r="AG30" s="155" t="str">
        <f>IF(P30=1,MAX(W28:W30),"-")</f>
        <v>-</v>
      </c>
      <c r="AI30" s="26">
        <f>IF($N34="同一市町村",1,10)</f>
        <v>10</v>
      </c>
      <c r="AJ30" s="26">
        <f>IF($N37="同一市町村",1,10)</f>
        <v>10</v>
      </c>
      <c r="AO30" s="65"/>
    </row>
    <row r="31" spans="1:41" ht="32.1" customHeight="1" thickBot="1" x14ac:dyDescent="0.25">
      <c r="A31" s="1"/>
      <c r="B31" s="301"/>
      <c r="C31" s="340" t="s">
        <v>6</v>
      </c>
      <c r="D31" s="341"/>
      <c r="E31" s="346">
        <f>AC29</f>
        <v>4</v>
      </c>
      <c r="F31" s="349" t="str">
        <f>IF(OR(H32="-",H33="-"),"-",AG36)</f>
        <v>-</v>
      </c>
      <c r="G31" s="336" t="s">
        <v>252</v>
      </c>
      <c r="H31" s="337"/>
      <c r="I31" s="289" t="s">
        <v>336</v>
      </c>
      <c r="J31" s="290"/>
      <c r="Q31" t="s">
        <v>281</v>
      </c>
      <c r="U31" t="s">
        <v>181</v>
      </c>
      <c r="Z31" s="3">
        <v>31</v>
      </c>
      <c r="AA31" s="3" t="s">
        <v>176</v>
      </c>
      <c r="AB31" s="3" t="s">
        <v>178</v>
      </c>
      <c r="AC31" s="6">
        <v>2.5</v>
      </c>
      <c r="AE31" s="233" t="e">
        <f>VLOOKUP(S32,Z29:AB37,3,FALSE)</f>
        <v>#N/A</v>
      </c>
      <c r="AI31" s="26">
        <f>IF($N34="同一土木",2,10)</f>
        <v>10</v>
      </c>
      <c r="AJ31" s="152">
        <f>IF($N37="同一土木",2,10)</f>
        <v>10</v>
      </c>
      <c r="AK31" s="153"/>
      <c r="AL31" s="24"/>
      <c r="AO31" s="65"/>
    </row>
    <row r="32" spans="1:41" ht="32.1" customHeight="1" thickBot="1" x14ac:dyDescent="0.25">
      <c r="A32" s="1"/>
      <c r="B32" s="301"/>
      <c r="C32" s="342"/>
      <c r="D32" s="343"/>
      <c r="E32" s="347"/>
      <c r="F32" s="350"/>
      <c r="G32" s="194" t="s">
        <v>276</v>
      </c>
      <c r="H32" s="203" t="s">
        <v>201</v>
      </c>
      <c r="I32" s="291"/>
      <c r="J32" s="292"/>
      <c r="K32" s="39"/>
      <c r="L32" s="39"/>
      <c r="M32" s="145" t="s">
        <v>248</v>
      </c>
      <c r="N32" s="131" t="str">
        <f>VLOOKUP(H32,リスト2!$C$3:$E$65,2,FALSE)</f>
        <v>-</v>
      </c>
      <c r="O32" s="156"/>
      <c r="Q32" s="64" t="s">
        <v>182</v>
      </c>
      <c r="R32" s="70" t="s">
        <v>275</v>
      </c>
      <c r="S32" s="63">
        <f>IF(H32="-",0,MAX(S33:S36))</f>
        <v>0</v>
      </c>
      <c r="U32" s="64" t="s">
        <v>182</v>
      </c>
      <c r="V32" s="70" t="s">
        <v>272</v>
      </c>
      <c r="W32" s="63">
        <f>IF(H35="-",0,MAX(W33:W36))</f>
        <v>0</v>
      </c>
      <c r="X32" s="130">
        <f>S32-W32</f>
        <v>0</v>
      </c>
      <c r="Z32" s="3">
        <v>30</v>
      </c>
      <c r="AA32" s="3" t="s">
        <v>176</v>
      </c>
      <c r="AB32" s="3" t="s">
        <v>179</v>
      </c>
      <c r="AC32" s="6">
        <v>1.5</v>
      </c>
      <c r="AE32" s="71" t="s">
        <v>180</v>
      </c>
      <c r="AF32" s="122"/>
      <c r="AI32" s="26">
        <f>IF($N34="同一建設",3,10)</f>
        <v>10</v>
      </c>
      <c r="AJ32" s="26">
        <f>IF($N37="同一建設",3,10)</f>
        <v>10</v>
      </c>
    </row>
    <row r="33" spans="1:45" ht="32.1" customHeight="1" thickBot="1" x14ac:dyDescent="0.25">
      <c r="A33" s="1"/>
      <c r="B33" s="301"/>
      <c r="C33" s="342"/>
      <c r="D33" s="343"/>
      <c r="E33" s="347"/>
      <c r="F33" s="350"/>
      <c r="G33" s="195" t="s">
        <v>278</v>
      </c>
      <c r="H33" s="196" t="s">
        <v>201</v>
      </c>
      <c r="I33" s="291"/>
      <c r="J33" s="292"/>
      <c r="K33" s="39"/>
      <c r="L33" s="39"/>
      <c r="M33" s="145" t="s">
        <v>249</v>
      </c>
      <c r="N33" s="131" t="str">
        <f>VLOOKUP(H32,リスト2!$C$3:$E$65,3,FALSE)</f>
        <v>-</v>
      </c>
      <c r="O33" s="156"/>
      <c r="Q33" s="62">
        <f>IF(OR(H32='1.基本データ(このシートは削除しないこと！)'!D13,H32='1.基本データ(このシートは削除しないこと！)'!E13),40,0)</f>
        <v>40</v>
      </c>
      <c r="R33" s="62">
        <f>IF(OR(H33="本店",H33="準本店"),1,0)</f>
        <v>0</v>
      </c>
      <c r="S33" s="62">
        <f>SUM(Q33:R33)</f>
        <v>40</v>
      </c>
      <c r="T33" t="s">
        <v>185</v>
      </c>
      <c r="U33" s="62">
        <f>IF(OR(H35='1.基本データ(このシートは削除しないこと！)'!D13,'3.様式第11号-1(特別簡易型)'!H35='1.基本データ(このシートは削除しないこと！)'!E13),40,0)</f>
        <v>40</v>
      </c>
      <c r="V33" s="62">
        <f>IF(H36="準本店",1,0)</f>
        <v>0</v>
      </c>
      <c r="W33" s="62">
        <f>SUM(U33:V33)</f>
        <v>40</v>
      </c>
      <c r="X33" t="s">
        <v>185</v>
      </c>
      <c r="Z33" s="3">
        <v>21</v>
      </c>
      <c r="AA33" s="3" t="s">
        <v>177</v>
      </c>
      <c r="AB33" s="3" t="s">
        <v>178</v>
      </c>
      <c r="AC33" s="6">
        <v>1</v>
      </c>
      <c r="AE33" s="69" t="s">
        <v>183</v>
      </c>
      <c r="AF33" s="69" t="s">
        <v>181</v>
      </c>
      <c r="AI33" s="26">
        <f>IF($N34="県内",4,10)</f>
        <v>10</v>
      </c>
      <c r="AJ33" s="26">
        <f>IF($N37="県内",4,10)</f>
        <v>10</v>
      </c>
    </row>
    <row r="34" spans="1:45" ht="32.1" customHeight="1" thickTop="1" thickBot="1" x14ac:dyDescent="0.25">
      <c r="A34" s="1"/>
      <c r="B34" s="301"/>
      <c r="C34" s="342"/>
      <c r="D34" s="343"/>
      <c r="E34" s="347"/>
      <c r="F34" s="350"/>
      <c r="G34" s="338" t="s">
        <v>279</v>
      </c>
      <c r="H34" s="339"/>
      <c r="I34" s="291"/>
      <c r="J34" s="292"/>
      <c r="K34" s="39"/>
      <c r="L34" s="39"/>
      <c r="M34" s="145" t="s">
        <v>254</v>
      </c>
      <c r="N34" s="146" t="str">
        <f>IF(H32="-","-",VLOOKUP($S$32,Z29:AC37,2,FALSE))</f>
        <v>-</v>
      </c>
      <c r="O34" s="146" t="str">
        <f>IF(OR(H33="本店",H33="準本店"),"本店(準本店)","支店等")</f>
        <v>支店等</v>
      </c>
      <c r="Q34" s="3" t="e">
        <f>IF(OR(N32='1.基本データ(このシートは削除しないこと！)'!D14,N32='1.基本データ(このシートは削除しないこと！)'!E14),30,0)</f>
        <v>#N/A</v>
      </c>
      <c r="R34" s="3">
        <f>IF(OR(H33="本店",H33="準本店"),1,0)</f>
        <v>0</v>
      </c>
      <c r="S34" s="62" t="e">
        <f>SUM(Q34:R34)</f>
        <v>#N/A</v>
      </c>
      <c r="T34" t="s">
        <v>186</v>
      </c>
      <c r="U34" s="3" t="e">
        <f>IF(OR(N35='1.基本データ(このシートは削除しないこと！)'!D14,'3.様式第11号-1(特別簡易型)'!N35='1.基本データ(このシートは削除しないこと！)'!E14),30,0)</f>
        <v>#N/A</v>
      </c>
      <c r="V34" s="62">
        <f>IF(H36="準本店",1,0)</f>
        <v>0</v>
      </c>
      <c r="W34" s="62" t="e">
        <f>SUM(U34:V34)</f>
        <v>#N/A</v>
      </c>
      <c r="X34" t="s">
        <v>186</v>
      </c>
      <c r="Z34" s="3">
        <v>20</v>
      </c>
      <c r="AA34" s="3" t="s">
        <v>177</v>
      </c>
      <c r="AB34" s="3" t="s">
        <v>11</v>
      </c>
      <c r="AC34" s="6">
        <v>0.5</v>
      </c>
      <c r="AD34" s="232" t="s">
        <v>327</v>
      </c>
      <c r="AE34" s="6" t="e">
        <f>IF(AND('1.基本データ(このシートは削除しないこと！)'!H11=2,S32&gt;=30),VLOOKUP($S$32,$Z$28:$AC$32,4,0),0)</f>
        <v>#N/A</v>
      </c>
      <c r="AF34" s="6" t="e">
        <f>IF(AND('1.基本データ(このシートは削除しないこと！)'!H11=2,W32&gt;=30),VLOOKUP($W$32,$Z$28:$AC$32,4,0),0)</f>
        <v>#N/A</v>
      </c>
      <c r="AI34" s="150">
        <f>MIN(AI30:AI33)</f>
        <v>10</v>
      </c>
      <c r="AJ34" s="150">
        <f>MIN(AJ30:AJ33)</f>
        <v>10</v>
      </c>
      <c r="AK34" s="65"/>
      <c r="AL34" s="66"/>
    </row>
    <row r="35" spans="1:45" ht="32.1" customHeight="1" thickBot="1" x14ac:dyDescent="0.25">
      <c r="A35" s="1"/>
      <c r="B35" s="301"/>
      <c r="C35" s="342"/>
      <c r="D35" s="343"/>
      <c r="E35" s="347"/>
      <c r="F35" s="350"/>
      <c r="G35" s="194" t="s">
        <v>315</v>
      </c>
      <c r="H35" s="203" t="s">
        <v>201</v>
      </c>
      <c r="I35" s="291"/>
      <c r="J35" s="292"/>
      <c r="K35" s="39"/>
      <c r="L35" s="39"/>
      <c r="M35" s="145" t="s">
        <v>255</v>
      </c>
      <c r="N35" s="131" t="str">
        <f>VLOOKUP(H35,リスト2!$C$3:$E$65,2,FALSE)</f>
        <v>-</v>
      </c>
      <c r="O35" s="131" t="str">
        <f>IF(H36="準本店","準本店","-")</f>
        <v>-</v>
      </c>
      <c r="Q35" s="3" t="e">
        <f>IF(OR(N33='1.基本データ(このシートは削除しないこと！)'!D15,N33='1.基本データ(このシートは削除しないこと！)'!E15),20,0)</f>
        <v>#N/A</v>
      </c>
      <c r="R35" s="3">
        <f>IF(OR(H33="本店",H33="準本店"),1,0)</f>
        <v>0</v>
      </c>
      <c r="S35" s="62" t="e">
        <f>SUM(Q35:R35)</f>
        <v>#N/A</v>
      </c>
      <c r="T35" t="s">
        <v>187</v>
      </c>
      <c r="U35" s="3" t="e">
        <f>IF(OR(N36='1.基本データ(このシートは削除しないこと！)'!D15,'3.様式第11号-1(特別簡易型)'!N36='1.基本データ(このシートは削除しないこと！)'!E15),20,0)</f>
        <v>#N/A</v>
      </c>
      <c r="V35" s="3">
        <f>IF(H36="準本店",1,0)</f>
        <v>0</v>
      </c>
      <c r="W35" s="62" t="e">
        <f>SUM(U35:V35)</f>
        <v>#N/A</v>
      </c>
      <c r="X35" t="s">
        <v>187</v>
      </c>
      <c r="Z35" s="3">
        <v>11</v>
      </c>
      <c r="AA35" s="3" t="s">
        <v>184</v>
      </c>
      <c r="AB35" s="3" t="s">
        <v>178</v>
      </c>
      <c r="AC35" s="6">
        <v>1</v>
      </c>
      <c r="AD35" s="232" t="s">
        <v>328</v>
      </c>
      <c r="AE35" s="6" t="e">
        <f>IF(AND('1.基本データ(このシートは削除しないこと！)'!H11=3,S32&gt;=20),VLOOKUP($S$32,$Z$28:$AC$34,4,0),0)</f>
        <v>#N/A</v>
      </c>
      <c r="AF35" s="6" t="e">
        <f>IF(AND('1.基本データ(このシートは削除しないこと！)'!H11=3,W32&gt;=20),VLOOKUP($W$32,$Z$28:$AC$34,4,0),0)</f>
        <v>#N/A</v>
      </c>
      <c r="AG35" s="112" t="s">
        <v>200</v>
      </c>
      <c r="AJ35" s="26">
        <f>MIN(AI34:AJ34)</f>
        <v>10</v>
      </c>
      <c r="AK35" s="24" t="s">
        <v>230</v>
      </c>
    </row>
    <row r="36" spans="1:45" ht="32.1" customHeight="1" thickBot="1" x14ac:dyDescent="0.25">
      <c r="A36" s="1"/>
      <c r="B36" s="301"/>
      <c r="C36" s="342"/>
      <c r="D36" s="343"/>
      <c r="E36" s="347"/>
      <c r="F36" s="350"/>
      <c r="G36" s="197" t="s">
        <v>277</v>
      </c>
      <c r="H36" s="196" t="s">
        <v>201</v>
      </c>
      <c r="I36" s="291"/>
      <c r="J36" s="292"/>
      <c r="K36" s="40"/>
      <c r="L36" s="40"/>
      <c r="M36" s="145" t="s">
        <v>249</v>
      </c>
      <c r="N36" s="131" t="str">
        <f>VLOOKUP(H35,リスト2!$C$3:$E$65,3,FALSE)</f>
        <v>-</v>
      </c>
      <c r="O36" s="131" t="str">
        <f>IF(H36="準本店","準本店","-")</f>
        <v>-</v>
      </c>
      <c r="Q36" s="3" t="e">
        <f>IF(OR(N33='1.基本データ(このシートは削除しないこと！)'!D15,N33='1.基本データ(このシートは削除しないこと！)'!E15),0,10)</f>
        <v>#N/A</v>
      </c>
      <c r="R36" s="3">
        <f>IF(OR(H33="本店",H33="準本店"),1,0)</f>
        <v>0</v>
      </c>
      <c r="S36" s="62" t="e">
        <f>SUM(Q36:R36)</f>
        <v>#N/A</v>
      </c>
      <c r="T36" t="s">
        <v>184</v>
      </c>
      <c r="U36" s="3" t="e">
        <f>IF(OR(N36='1.基本データ(このシートは削除しないこと！)'!D15,'3.様式第11号-1(特別簡易型)'!N36='1.基本データ(このシートは削除しないこと！)'!E15),0,10)</f>
        <v>#N/A</v>
      </c>
      <c r="V36" s="3">
        <f>IF(H36="準本店",1,0)</f>
        <v>0</v>
      </c>
      <c r="W36" s="3" t="e">
        <f>SUM(U36:V36)</f>
        <v>#N/A</v>
      </c>
      <c r="X36" t="s">
        <v>184</v>
      </c>
      <c r="Z36" s="3">
        <v>10</v>
      </c>
      <c r="AA36" s="3" t="s">
        <v>184</v>
      </c>
      <c r="AB36" s="3" t="s">
        <v>11</v>
      </c>
      <c r="AC36" s="6">
        <v>0.5</v>
      </c>
      <c r="AD36" s="232" t="s">
        <v>329</v>
      </c>
      <c r="AE36" s="6" t="e">
        <f>IF(AND('1.基本データ(このシートは削除しないこと！)'!H11=4,S32&gt;=10),VLOOKUP($S$32,$Z$28:$AC$36,4,0),0)</f>
        <v>#N/A</v>
      </c>
      <c r="AF36" s="6" t="e">
        <f>IF(AND('1.基本データ(このシートは削除しないこと！)'!H11=4,W32&gt;=10),VLOOKUP($W$32,$Z$28:$AC$36,4,0),0)</f>
        <v>#N/A</v>
      </c>
      <c r="AG36" s="116" t="e">
        <f>MAX(AE34:AF36)</f>
        <v>#N/A</v>
      </c>
      <c r="AJ36" s="130" t="e">
        <f>IF(AJ35&lt;='1.基本データ(このシートは削除しないこと！)'!H11,1,0)</f>
        <v>#N/A</v>
      </c>
      <c r="AK36" t="s">
        <v>257</v>
      </c>
    </row>
    <row r="37" spans="1:45" ht="32.1" customHeight="1" x14ac:dyDescent="0.2">
      <c r="A37" s="1"/>
      <c r="B37" s="301"/>
      <c r="C37" s="342"/>
      <c r="D37" s="343"/>
      <c r="E37" s="347"/>
      <c r="F37" s="350"/>
      <c r="G37" s="198" t="s">
        <v>253</v>
      </c>
      <c r="H37" s="199" t="str">
        <f>IF(H32="-","-",N38)</f>
        <v>-</v>
      </c>
      <c r="I37" s="291"/>
      <c r="J37" s="292"/>
      <c r="K37" s="40"/>
      <c r="L37" s="40"/>
      <c r="M37" s="158" t="s">
        <v>254</v>
      </c>
      <c r="N37" s="159" t="str">
        <f>IF(H35="-","-",VLOOKUP(W32,Z29:AC36,2,FALSE))</f>
        <v>-</v>
      </c>
      <c r="O37" s="159" t="str">
        <f>IF(H35="-","-",VLOOKUP($W$32,Z29:AC36,3,FALSE))</f>
        <v>-</v>
      </c>
      <c r="P37" s="148"/>
      <c r="Q37" s="149"/>
      <c r="U37" s="7"/>
      <c r="V37" s="7"/>
      <c r="W37" s="7"/>
      <c r="X37" s="67"/>
      <c r="AD37" s="7"/>
      <c r="AE37" s="7"/>
      <c r="AF37" s="7"/>
    </row>
    <row r="38" spans="1:45" ht="32.1" customHeight="1" x14ac:dyDescent="0.2">
      <c r="A38" s="1"/>
      <c r="B38" s="302"/>
      <c r="C38" s="344"/>
      <c r="D38" s="345"/>
      <c r="E38" s="348"/>
      <c r="F38" s="351"/>
      <c r="G38" s="200"/>
      <c r="H38" s="201" t="str">
        <f>IF(H33="-","-",O38)</f>
        <v>-</v>
      </c>
      <c r="I38" s="293"/>
      <c r="J38" s="294"/>
      <c r="K38" s="40"/>
      <c r="L38" s="40"/>
      <c r="M38" s="145" t="s">
        <v>280</v>
      </c>
      <c r="N38" s="160" t="str">
        <f>IF(X32&gt;=0,N34,N37)</f>
        <v>-</v>
      </c>
      <c r="O38" s="160" t="str">
        <f>IF(X32&gt;=0,O34,O37)</f>
        <v>支店等</v>
      </c>
      <c r="P38" s="157"/>
      <c r="Q38" s="149"/>
      <c r="U38" s="7"/>
      <c r="V38" s="7"/>
      <c r="W38" s="7"/>
      <c r="X38" s="67"/>
      <c r="AA38" s="7"/>
      <c r="AB38" s="7"/>
      <c r="AC38" s="7"/>
      <c r="AD38" s="7"/>
      <c r="AE38" s="7"/>
      <c r="AF38" s="7"/>
    </row>
    <row r="39" spans="1:45" ht="24" customHeight="1" thickBot="1" x14ac:dyDescent="0.25">
      <c r="A39" s="1"/>
      <c r="B39" s="352" t="e">
        <f>IF(AND(H32&lt;&gt;"-",AK40=0),"※入札参加者の所在地が地域要件ごとの評価対象エリア外のため、「ボランティア活動」と「選択項目」は評価対象外です。","")</f>
        <v>#N/A</v>
      </c>
      <c r="C39" s="352"/>
      <c r="D39" s="352"/>
      <c r="E39" s="352"/>
      <c r="F39" s="352"/>
      <c r="G39" s="352"/>
      <c r="H39" s="353"/>
      <c r="I39" s="353"/>
      <c r="J39" s="352"/>
      <c r="K39" s="40"/>
      <c r="L39" s="40"/>
      <c r="M39" s="7"/>
      <c r="N39" s="147"/>
      <c r="O39" s="74"/>
      <c r="P39" s="74"/>
      <c r="Q39" s="75"/>
      <c r="U39" s="7"/>
      <c r="V39" s="7"/>
      <c r="W39" s="7"/>
      <c r="X39" s="67"/>
      <c r="AA39" s="7"/>
      <c r="AB39" s="7"/>
      <c r="AC39" s="7"/>
      <c r="AD39" s="7"/>
      <c r="AE39" s="7"/>
      <c r="AF39" s="7"/>
      <c r="AJ39" t="s">
        <v>258</v>
      </c>
    </row>
    <row r="40" spans="1:45" ht="32.1" customHeight="1" thickBot="1" x14ac:dyDescent="0.25">
      <c r="A40" s="1"/>
      <c r="B40" s="285" t="s">
        <v>0</v>
      </c>
      <c r="C40" s="285"/>
      <c r="D40" s="285"/>
      <c r="E40" s="103" t="s">
        <v>202</v>
      </c>
      <c r="F40" s="42" t="s">
        <v>9</v>
      </c>
      <c r="G40" s="287" t="s">
        <v>263</v>
      </c>
      <c r="H40" s="288"/>
      <c r="I40" s="175" t="s">
        <v>284</v>
      </c>
      <c r="J40" s="176" t="s">
        <v>285</v>
      </c>
      <c r="K40" s="40"/>
      <c r="L40" s="40"/>
      <c r="M40" s="83" t="s">
        <v>194</v>
      </c>
      <c r="N40" s="83" t="s">
        <v>240</v>
      </c>
      <c r="O40" s="83" t="s">
        <v>260</v>
      </c>
      <c r="P40" s="84" t="s">
        <v>188</v>
      </c>
      <c r="Q40" s="85" t="s">
        <v>190</v>
      </c>
      <c r="R40" s="86" t="s">
        <v>189</v>
      </c>
      <c r="S40" s="85" t="s">
        <v>191</v>
      </c>
      <c r="T40" s="86" t="s">
        <v>192</v>
      </c>
      <c r="U40" s="87" t="s">
        <v>193</v>
      </c>
      <c r="V40" s="87" t="s">
        <v>241</v>
      </c>
      <c r="W40" s="89" t="s">
        <v>323</v>
      </c>
      <c r="X40" s="88" t="s">
        <v>195</v>
      </c>
      <c r="Y40" s="88" t="s">
        <v>196</v>
      </c>
      <c r="Z40" s="88" t="s">
        <v>242</v>
      </c>
      <c r="AB40" s="88" t="s">
        <v>198</v>
      </c>
      <c r="AC40" s="88" t="s">
        <v>199</v>
      </c>
      <c r="AD40" s="88" t="s">
        <v>242</v>
      </c>
      <c r="AE40" s="206" t="s">
        <v>324</v>
      </c>
      <c r="AF40" s="206" t="s">
        <v>325</v>
      </c>
      <c r="AG40" s="207" t="s">
        <v>326</v>
      </c>
      <c r="AH40" s="112" t="s">
        <v>200</v>
      </c>
      <c r="AI40" s="7"/>
      <c r="AJ40" s="7"/>
      <c r="AK40" s="130" t="e">
        <f>IF(AI34&lt;'1.基本データ(このシートは削除しないこと！)'!H11+1,1,0)</f>
        <v>#N/A</v>
      </c>
      <c r="AL40" t="s">
        <v>231</v>
      </c>
      <c r="AM40" s="7"/>
      <c r="AN40" s="7"/>
      <c r="AO40" s="7"/>
      <c r="AP40" s="7"/>
      <c r="AQ40" s="7"/>
      <c r="AR40" s="7"/>
      <c r="AS40" s="7"/>
    </row>
    <row r="41" spans="1:45" ht="37.200000000000003" customHeight="1" thickBot="1" x14ac:dyDescent="0.25">
      <c r="A41" s="1"/>
      <c r="B41" s="312" t="s">
        <v>225</v>
      </c>
      <c r="C41" s="308" t="s">
        <v>30</v>
      </c>
      <c r="D41" s="309"/>
      <c r="E41" s="238">
        <f>X41</f>
        <v>0.5</v>
      </c>
      <c r="F41" s="239" t="e">
        <f>IF(OR($AK$40=0,M41=0),"-",AH41)</f>
        <v>#N/A</v>
      </c>
      <c r="G41" s="316" t="s">
        <v>269</v>
      </c>
      <c r="H41" s="356"/>
      <c r="I41" s="240" t="s">
        <v>201</v>
      </c>
      <c r="J41" s="241" t="s">
        <v>201</v>
      </c>
      <c r="K41" s="40"/>
      <c r="L41" s="40"/>
      <c r="M41" s="3">
        <f t="shared" ref="M41:M51" si="3">IF(I41="有",1,0)</f>
        <v>0</v>
      </c>
      <c r="N41" s="45"/>
      <c r="O41" s="3">
        <f t="shared" ref="O41:O50" si="4">IF(J41="-",0,1)</f>
        <v>0</v>
      </c>
      <c r="P41" s="76">
        <f>IF(OR(J41='1.基本データ(このシートは削除しないこと！)'!$D$13,'3.様式第11号-1(特別簡易型)'!J41='1.基本データ(このシートは削除しないこと！)'!$E$13),1,0)</f>
        <v>1</v>
      </c>
      <c r="Q41" s="78" t="str">
        <f>VLOOKUP(J41,リスト2!$C$3:$E$65,2,FALSE)</f>
        <v>-</v>
      </c>
      <c r="R41" s="79" t="e">
        <f>IF(OR(Q41='1.基本データ(このシートは削除しないこと！)'!$D$14,Q41='1.基本データ(このシートは削除しないこと！)'!$E$14),1,0)</f>
        <v>#N/A</v>
      </c>
      <c r="S41" s="78" t="str">
        <f>VLOOKUP(J41,リスト2!$C$3:$E$65,3,FALSE)</f>
        <v>-</v>
      </c>
      <c r="T41" s="79" t="e">
        <f>IF(OR(S41='1.基本データ(このシートは削除しないこと！)'!$D$15,S41='1.基本データ(このシートは削除しないこと！)'!$E$15),1,0)</f>
        <v>#N/A</v>
      </c>
      <c r="U41" s="82" t="e">
        <f t="shared" ref="U41:U47" si="5">P41+R41+T41</f>
        <v>#N/A</v>
      </c>
      <c r="V41" s="82">
        <f>IF(AND('1.基本データ(このシートは削除しないこと！)'!$D$11="全国",S41&lt;&gt;"-"),4,0)</f>
        <v>0</v>
      </c>
      <c r="W41" s="205" t="str">
        <f>VLOOKUP(J41,リスト2!$C$3:$F$65,4,FALSE)</f>
        <v>-</v>
      </c>
      <c r="X41" s="90">
        <v>0.5</v>
      </c>
      <c r="Y41" s="90">
        <v>0.5</v>
      </c>
      <c r="Z41" s="90">
        <v>0.5</v>
      </c>
      <c r="AB41" s="77" t="e">
        <f>IF($M41*$O41*$U41=3,X41,0)</f>
        <v>#N/A</v>
      </c>
      <c r="AC41" s="77" t="e">
        <f>IF($M41*O41*$U41=2,Y41,0)</f>
        <v>#N/A</v>
      </c>
      <c r="AD41" s="77" t="e">
        <f>IF(OR($M41*$O41*$U41=1,$M41*$O41*$V41=4),Z41,0)</f>
        <v>#N/A</v>
      </c>
      <c r="AE41" s="106" t="e">
        <f>IF('1.基本データ(このシートは削除しないこと！)'!$H$11=2,MAX(AB41:AC41),0)</f>
        <v>#N/A</v>
      </c>
      <c r="AF41" s="106" t="e">
        <f>IF('1.基本データ(このシートは削除しないこと！)'!$H$11=3,MAX(AB41:AD41),0)</f>
        <v>#N/A</v>
      </c>
      <c r="AG41" s="208" t="e">
        <f>IF(AND('1.基本データ(このシートは削除しないこと！)'!$H$11=4,W41="県内"),M41*Z41,0)</f>
        <v>#N/A</v>
      </c>
      <c r="AH41" s="119" t="str">
        <f>IF(M41=1,MAX(AE41:AG41),"-")</f>
        <v>-</v>
      </c>
      <c r="AJ41" s="7"/>
      <c r="AK41" s="7"/>
    </row>
    <row r="42" spans="1:45" ht="37.200000000000003" customHeight="1" thickBot="1" x14ac:dyDescent="0.25">
      <c r="A42" s="1"/>
      <c r="B42" s="312"/>
      <c r="C42" s="310" t="s">
        <v>7</v>
      </c>
      <c r="D42" s="311"/>
      <c r="E42" s="242">
        <f>X42</f>
        <v>0.5</v>
      </c>
      <c r="F42" s="243" t="str">
        <f>IF(I42="-","-",AH42)</f>
        <v>-</v>
      </c>
      <c r="G42" s="357" t="s">
        <v>270</v>
      </c>
      <c r="H42" s="357"/>
      <c r="I42" s="240" t="s">
        <v>201</v>
      </c>
      <c r="J42" s="241" t="s">
        <v>201</v>
      </c>
      <c r="K42" s="40"/>
      <c r="L42" s="40"/>
      <c r="M42" s="3">
        <f t="shared" si="3"/>
        <v>0</v>
      </c>
      <c r="N42" s="45"/>
      <c r="O42" s="3">
        <f t="shared" si="4"/>
        <v>0</v>
      </c>
      <c r="P42" s="76">
        <f>IF(OR(J42='1.基本データ(このシートは削除しないこと！)'!$D$13,'3.様式第11号-1(特別簡易型)'!J42='1.基本データ(このシートは削除しないこと！)'!$E$13),1,0)</f>
        <v>1</v>
      </c>
      <c r="Q42" s="78" t="str">
        <f>VLOOKUP(J42,リスト2!$C$3:$E$65,2,FALSE)</f>
        <v>-</v>
      </c>
      <c r="R42" s="79" t="e">
        <f>IF(OR(Q42='1.基本データ(このシートは削除しないこと！)'!$D$14,Q42='1.基本データ(このシートは削除しないこと！)'!$E$14),1,0)</f>
        <v>#N/A</v>
      </c>
      <c r="S42" s="78" t="str">
        <f>VLOOKUP(J42,リスト2!$C$3:$E$65,3,FALSE)</f>
        <v>-</v>
      </c>
      <c r="T42" s="79" t="e">
        <f>IF(OR(S42='1.基本データ(このシートは削除しないこと！)'!$D$15,S42='1.基本データ(このシートは削除しないこと！)'!$E$15),1,0)</f>
        <v>#N/A</v>
      </c>
      <c r="U42" s="82" t="e">
        <f t="shared" si="5"/>
        <v>#N/A</v>
      </c>
      <c r="V42" s="82">
        <f>IF(AND('1.基本データ(このシートは削除しないこと！)'!$D$11="全国",S42&lt;&gt;"-"),4,0)</f>
        <v>0</v>
      </c>
      <c r="W42" s="205" t="str">
        <f>VLOOKUP(J42,リスト2!$C$3:$F$65,4,FALSE)</f>
        <v>-</v>
      </c>
      <c r="X42" s="90">
        <v>0.5</v>
      </c>
      <c r="Y42" s="90">
        <v>0.5</v>
      </c>
      <c r="Z42" s="90">
        <v>0.25</v>
      </c>
      <c r="AB42" s="77" t="e">
        <f>IF($M42*O42*$U42=3,X42,0)</f>
        <v>#N/A</v>
      </c>
      <c r="AC42" s="77" t="e">
        <f>IF($M42*O42*$U42=2,Y42,0)</f>
        <v>#N/A</v>
      </c>
      <c r="AD42" s="77" t="e">
        <f t="shared" ref="AD42:AD51" si="6">IF($M42*$O42*$U42=1,Z42,0)</f>
        <v>#N/A</v>
      </c>
      <c r="AE42" s="106" t="e">
        <f>IF('1.基本データ(このシートは削除しないこと！)'!$H$11=2,MAX(AB42:AD42),0)</f>
        <v>#N/A</v>
      </c>
      <c r="AF42" s="106" t="e">
        <f>IF('1.基本データ(このシートは削除しないこと！)'!$H$11=3,MAX(AB42:AD42),0)</f>
        <v>#N/A</v>
      </c>
      <c r="AG42" s="208" t="e">
        <f>IF(AND('1.基本データ(このシートは削除しないこと！)'!$H$11=4,W42="県内"),M42*X42,0)</f>
        <v>#N/A</v>
      </c>
      <c r="AH42" s="113" t="e">
        <f>MAX(AE42:AG42)</f>
        <v>#N/A</v>
      </c>
      <c r="AJ42" s="7"/>
      <c r="AK42" s="7"/>
    </row>
    <row r="43" spans="1:45" ht="72" customHeight="1" thickBot="1" x14ac:dyDescent="0.25">
      <c r="A43" s="1"/>
      <c r="B43" s="312"/>
      <c r="C43" s="318" t="s">
        <v>287</v>
      </c>
      <c r="D43" s="272" t="s">
        <v>168</v>
      </c>
      <c r="E43" s="282">
        <f>Y43</f>
        <v>1.5</v>
      </c>
      <c r="F43" s="279" t="e">
        <f>IF(OR($AK$40=0,SUM(M43:M45)=0),"-",AH43)</f>
        <v>#N/A</v>
      </c>
      <c r="G43" s="354" t="s">
        <v>338</v>
      </c>
      <c r="H43" s="355"/>
      <c r="I43" s="240" t="s">
        <v>201</v>
      </c>
      <c r="J43" s="241" t="s">
        <v>201</v>
      </c>
      <c r="K43" s="41"/>
      <c r="L43" s="41"/>
      <c r="M43" s="91">
        <f t="shared" si="3"/>
        <v>0</v>
      </c>
      <c r="N43" s="306">
        <f>IF(SUM(M43:M45)&gt;0,1,0)</f>
        <v>0</v>
      </c>
      <c r="O43" s="91">
        <f t="shared" si="4"/>
        <v>0</v>
      </c>
      <c r="P43" s="92">
        <f>IF(OR(J43='1.基本データ(このシートは削除しないこと！)'!$D$13,'3.様式第11号-1(特別簡易型)'!J43='1.基本データ(このシートは削除しないこと！)'!$E$13),1,0)</f>
        <v>1</v>
      </c>
      <c r="Q43" s="93" t="str">
        <f>VLOOKUP(J43,リスト2!$C$3:$E$65,2,FALSE)</f>
        <v>-</v>
      </c>
      <c r="R43" s="94" t="e">
        <f>IF(OR(Q43='1.基本データ(このシートは削除しないこと！)'!$D$14,Q43='1.基本データ(このシートは削除しないこと！)'!$E$14),1,0)</f>
        <v>#N/A</v>
      </c>
      <c r="S43" s="93" t="str">
        <f>VLOOKUP(J43,リスト2!$C$3:$E$65,3,FALSE)</f>
        <v>-</v>
      </c>
      <c r="T43" s="94" t="e">
        <f>IF(OR(S43='1.基本データ(このシートは削除しないこと！)'!$D$15,S43='1.基本データ(このシートは削除しないこと！)'!$E$15),1,0)</f>
        <v>#N/A</v>
      </c>
      <c r="U43" s="95" t="e">
        <f>IF(P43+R43+T43=3,2,P43+R43+T43)</f>
        <v>#N/A</v>
      </c>
      <c r="V43" s="95">
        <f>IF(AND('1.基本データ(このシートは削除しないこと！)'!$D$11="全国",S43&lt;&gt;"-"),4,0)</f>
        <v>0</v>
      </c>
      <c r="W43" s="205" t="str">
        <f>VLOOKUP(J43,リスト2!$C$3:$F$65,4,FALSE)</f>
        <v>-</v>
      </c>
      <c r="X43" s="98"/>
      <c r="Y43" s="96">
        <v>1.5</v>
      </c>
      <c r="Z43" s="96">
        <v>1.5</v>
      </c>
      <c r="AB43" s="97" t="e">
        <f t="shared" ref="AB43:AB50" si="7">IF($M43*$U43=3,X43,0)</f>
        <v>#N/A</v>
      </c>
      <c r="AC43" s="97" t="e">
        <f t="shared" ref="AC43:AC50" si="8">IF($M43*$U43=2,Y43,0)</f>
        <v>#N/A</v>
      </c>
      <c r="AD43" s="97" t="e">
        <f t="shared" si="6"/>
        <v>#N/A</v>
      </c>
      <c r="AE43" s="210" t="e">
        <f>IF('1.基本データ(このシートは削除しないこと！)'!$H$11=2,MAX(AB43:AC43),0)</f>
        <v>#N/A</v>
      </c>
      <c r="AF43" s="210" t="e">
        <f>IF('1.基本データ(このシートは削除しないこと！)'!$H$11=3,MAX(AB43:AD43),0)</f>
        <v>#N/A</v>
      </c>
      <c r="AG43" s="211" t="e">
        <f>IF(AND('1.基本データ(このシートは削除しないこと！)'!$H$11=4,W43="県内"),M43*Z43,0)</f>
        <v>#N/A</v>
      </c>
      <c r="AH43" s="269" t="e">
        <f>IF(N43&lt;=2,MAX(AE43:AG45),"-")</f>
        <v>#N/A</v>
      </c>
      <c r="AK43" s="7"/>
    </row>
    <row r="44" spans="1:45" ht="35.4" customHeight="1" thickBot="1" x14ac:dyDescent="0.25">
      <c r="A44" s="1"/>
      <c r="B44" s="312"/>
      <c r="C44" s="319"/>
      <c r="D44" s="273"/>
      <c r="E44" s="283"/>
      <c r="F44" s="280"/>
      <c r="G44" s="277" t="s">
        <v>288</v>
      </c>
      <c r="H44" s="278"/>
      <c r="I44" s="240" t="s">
        <v>201</v>
      </c>
      <c r="J44" s="241" t="s">
        <v>201</v>
      </c>
      <c r="K44" s="41"/>
      <c r="L44" s="41"/>
      <c r="M44" s="216">
        <f t="shared" ref="M44:M45" si="9">IF(I44="有",1,0)</f>
        <v>0</v>
      </c>
      <c r="N44" s="323"/>
      <c r="O44" s="216">
        <f t="shared" ref="O44:O45" si="10">IF(J44="-",0,1)</f>
        <v>0</v>
      </c>
      <c r="P44" s="218">
        <f>IF(OR(J44='1.基本データ(このシートは削除しないこと！)'!$D$13,'3.様式第11号-1(特別簡易型)'!J44='1.基本データ(このシートは削除しないこと！)'!$E$13),1,0)</f>
        <v>1</v>
      </c>
      <c r="Q44" s="219" t="str">
        <f>VLOOKUP(J44,リスト2!$C$3:$E$65,2,FALSE)</f>
        <v>-</v>
      </c>
      <c r="R44" s="220" t="e">
        <f>IF(OR(Q44='1.基本データ(このシートは削除しないこと！)'!$D$14,Q44='1.基本データ(このシートは削除しないこと！)'!$E$14),1,0)</f>
        <v>#N/A</v>
      </c>
      <c r="S44" s="219" t="str">
        <f>VLOOKUP(J44,リスト2!$C$3:$E$65,3,FALSE)</f>
        <v>-</v>
      </c>
      <c r="T44" s="220" t="e">
        <f>IF(OR(S44='1.基本データ(このシートは削除しないこと！)'!$D$15,S44='1.基本データ(このシートは削除しないこと！)'!$E$15),1,0)</f>
        <v>#N/A</v>
      </c>
      <c r="U44" s="221" t="e">
        <f>IF(P44+R44+T44=3,2,P44+R44+T44)</f>
        <v>#N/A</v>
      </c>
      <c r="V44" s="221">
        <f>IF(AND('1.基本データ(このシートは削除しないこと！)'!$D$11="全国",S44&lt;&gt;"-"),4,0)</f>
        <v>0</v>
      </c>
      <c r="W44" s="205" t="str">
        <f>VLOOKUP(J44,リスト2!$C$3:$F$65,4,FALSE)</f>
        <v>-</v>
      </c>
      <c r="X44" s="226"/>
      <c r="Y44" s="227">
        <v>1.25</v>
      </c>
      <c r="Z44" s="227">
        <v>1.25</v>
      </c>
      <c r="AB44" s="229" t="e">
        <f t="shared" ref="AB44:AB45" si="11">IF($M44*$U44=3,X44,0)</f>
        <v>#N/A</v>
      </c>
      <c r="AC44" s="229" t="e">
        <f t="shared" ref="AC44:AC45" si="12">IF($M44*$U44=2,Y44,0)</f>
        <v>#N/A</v>
      </c>
      <c r="AD44" s="229" t="e">
        <f t="shared" si="6"/>
        <v>#N/A</v>
      </c>
      <c r="AE44" s="230" t="e">
        <f>IF('1.基本データ(このシートは削除しないこと！)'!$H$11=2,MAX(AB44:AC44),0)</f>
        <v>#N/A</v>
      </c>
      <c r="AF44" s="230" t="e">
        <f>IF('1.基本データ(このシートは削除しないこと！)'!$H$11=3,MAX(AB44:AD44),0)</f>
        <v>#N/A</v>
      </c>
      <c r="AG44" s="231" t="e">
        <f>IF(AND('1.基本データ(このシートは削除しないこと！)'!$H$11=4,W44="県内"),M44*Z44,0)</f>
        <v>#N/A</v>
      </c>
      <c r="AH44" s="270"/>
      <c r="AK44" s="7"/>
    </row>
    <row r="45" spans="1:45" ht="54.6" customHeight="1" thickBot="1" x14ac:dyDescent="0.25">
      <c r="A45" s="1"/>
      <c r="B45" s="312"/>
      <c r="C45" s="319"/>
      <c r="D45" s="274"/>
      <c r="E45" s="284"/>
      <c r="F45" s="281"/>
      <c r="G45" s="277" t="s">
        <v>339</v>
      </c>
      <c r="H45" s="278"/>
      <c r="I45" s="240" t="s">
        <v>201</v>
      </c>
      <c r="J45" s="241" t="s">
        <v>201</v>
      </c>
      <c r="K45" s="41"/>
      <c r="L45" s="41"/>
      <c r="M45" s="217">
        <f t="shared" si="9"/>
        <v>0</v>
      </c>
      <c r="N45" s="307"/>
      <c r="O45" s="217">
        <f t="shared" si="10"/>
        <v>0</v>
      </c>
      <c r="P45" s="222">
        <f>IF(OR(J45='1.基本データ(このシートは削除しないこと！)'!$D$13,'3.様式第11号-1(特別簡易型)'!J45='1.基本データ(このシートは削除しないこと！)'!$E$13),1,0)</f>
        <v>1</v>
      </c>
      <c r="Q45" s="223" t="str">
        <f>VLOOKUP(J45,リスト2!$C$3:$E$65,2,FALSE)</f>
        <v>-</v>
      </c>
      <c r="R45" s="224" t="e">
        <f>IF(OR(Q45='1.基本データ(このシートは削除しないこと！)'!$D$14,Q45='1.基本データ(このシートは削除しないこと！)'!$E$14),1,0)</f>
        <v>#N/A</v>
      </c>
      <c r="S45" s="223" t="str">
        <f>VLOOKUP(J45,リスト2!$C$3:$E$65,3,FALSE)</f>
        <v>-</v>
      </c>
      <c r="T45" s="224" t="e">
        <f>IF(OR(S45='1.基本データ(このシートは削除しないこと！)'!$D$15,S45='1.基本データ(このシートは削除しないこと！)'!$E$15),1,0)</f>
        <v>#N/A</v>
      </c>
      <c r="U45" s="225" t="e">
        <f>IF(P45+R45+T45=3,2,P45+R45+T45)</f>
        <v>#N/A</v>
      </c>
      <c r="V45" s="225">
        <f>IF(AND('1.基本データ(このシートは削除しないこと！)'!$D$11="全国",S45&lt;&gt;"-"),4,0)</f>
        <v>0</v>
      </c>
      <c r="W45" s="205" t="str">
        <f>VLOOKUP(J45,リスト2!$C$3:$F$65,4,FALSE)</f>
        <v>-</v>
      </c>
      <c r="X45" s="228"/>
      <c r="Y45" s="100">
        <v>0.75</v>
      </c>
      <c r="Z45" s="100">
        <v>0.75</v>
      </c>
      <c r="AB45" s="212" t="e">
        <f t="shared" si="11"/>
        <v>#N/A</v>
      </c>
      <c r="AC45" s="212" t="e">
        <f t="shared" si="12"/>
        <v>#N/A</v>
      </c>
      <c r="AD45" s="212" t="e">
        <f t="shared" si="6"/>
        <v>#N/A</v>
      </c>
      <c r="AE45" s="214" t="e">
        <f>IF('1.基本データ(このシートは削除しないこと！)'!$H$11=2,MAX(AB45:AC45),0)</f>
        <v>#N/A</v>
      </c>
      <c r="AF45" s="214" t="e">
        <f>IF('1.基本データ(このシートは削除しないこと！)'!$H$11=3,MAX(AB45:AD45),0)</f>
        <v>#N/A</v>
      </c>
      <c r="AG45" s="215" t="e">
        <f>IF(AND('1.基本データ(このシートは削除しないこと！)'!$H$11=4,W45="県内"),M45*Z45,0)</f>
        <v>#N/A</v>
      </c>
      <c r="AH45" s="271"/>
      <c r="AK45" s="7"/>
    </row>
    <row r="46" spans="1:45" ht="89.4" customHeight="1" thickBot="1" x14ac:dyDescent="0.25">
      <c r="A46" s="1"/>
      <c r="B46" s="312"/>
      <c r="C46" s="319"/>
      <c r="D46" s="321" t="s">
        <v>247</v>
      </c>
      <c r="E46" s="324">
        <f>X46</f>
        <v>1.25</v>
      </c>
      <c r="F46" s="313" t="e">
        <f>IF(OR($AK$40=0,M46+M47=0),"-",AH46)</f>
        <v>#N/A</v>
      </c>
      <c r="G46" s="316" t="s">
        <v>343</v>
      </c>
      <c r="H46" s="317"/>
      <c r="I46" s="240" t="s">
        <v>201</v>
      </c>
      <c r="J46" s="241" t="s">
        <v>201</v>
      </c>
      <c r="K46" s="104"/>
      <c r="L46" s="104"/>
      <c r="M46" s="91">
        <f t="shared" si="3"/>
        <v>0</v>
      </c>
      <c r="N46" s="306">
        <f>IF(SUM(M46:M47)&gt;0,1,0)+N43</f>
        <v>0</v>
      </c>
      <c r="O46" s="151">
        <f t="shared" si="4"/>
        <v>0</v>
      </c>
      <c r="P46" s="92">
        <f>IF(OR(J46='1.基本データ(このシートは削除しないこと！)'!$D$13,'3.様式第11号-1(特別簡易型)'!J46='1.基本データ(このシートは削除しないこと！)'!$E$13),1,0)</f>
        <v>1</v>
      </c>
      <c r="Q46" s="93" t="str">
        <f>VLOOKUP(J46,リスト2!$C$3:$E$65,2,FALSE)</f>
        <v>-</v>
      </c>
      <c r="R46" s="94" t="e">
        <f>IF(OR(Q46='1.基本データ(このシートは削除しないこと！)'!$D$14,Q46='1.基本データ(このシートは削除しないこと！)'!$E$14),1,0)</f>
        <v>#N/A</v>
      </c>
      <c r="S46" s="93" t="str">
        <f>VLOOKUP(J46,リスト2!$C$3:$E$65,3,FALSE)</f>
        <v>-</v>
      </c>
      <c r="T46" s="94" t="e">
        <f>IF(OR(S46='1.基本データ(このシートは削除しないこと！)'!$D$15,S46='1.基本データ(このシートは削除しないこと！)'!$E$15),1,0)</f>
        <v>#N/A</v>
      </c>
      <c r="U46" s="95" t="e">
        <f t="shared" si="5"/>
        <v>#N/A</v>
      </c>
      <c r="V46" s="133">
        <f>IF(AND('1.基本データ(このシートは削除しないこと！)'!$D$11="全国",S46&lt;&gt;"-"),4,0)</f>
        <v>0</v>
      </c>
      <c r="W46" s="205" t="str">
        <f>VLOOKUP(J46,リスト2!$C$3:$F$65,4,FALSE)</f>
        <v>-</v>
      </c>
      <c r="X46" s="99">
        <v>1.25</v>
      </c>
      <c r="Y46" s="99">
        <v>1.25</v>
      </c>
      <c r="Z46" s="99">
        <v>1.25</v>
      </c>
      <c r="AB46" s="97" t="e">
        <f t="shared" si="7"/>
        <v>#N/A</v>
      </c>
      <c r="AC46" s="97" t="e">
        <f t="shared" si="8"/>
        <v>#N/A</v>
      </c>
      <c r="AD46" s="97" t="e">
        <f t="shared" si="6"/>
        <v>#N/A</v>
      </c>
      <c r="AE46" s="210" t="e">
        <f>IF('1.基本データ(このシートは削除しないこと！)'!$H$11=2,MAX(AB46:AC46),0)</f>
        <v>#N/A</v>
      </c>
      <c r="AF46" s="210" t="e">
        <f>IF('1.基本データ(このシートは削除しないこと！)'!$H$11=3,MAX(AB46:AD46),0)</f>
        <v>#N/A</v>
      </c>
      <c r="AG46" s="211" t="e">
        <f>IF(AND('1.基本データ(このシートは削除しないこと！)'!$H$11=4,W46="県内"),M46*Z46,0)</f>
        <v>#N/A</v>
      </c>
      <c r="AH46" s="120" t="e">
        <f>IF(N46&lt;=2,MAX(AE46:AG47),"-")</f>
        <v>#N/A</v>
      </c>
    </row>
    <row r="47" spans="1:45" ht="52.8" customHeight="1" thickBot="1" x14ac:dyDescent="0.25">
      <c r="A47" s="1"/>
      <c r="B47" s="312"/>
      <c r="C47" s="319"/>
      <c r="D47" s="322"/>
      <c r="E47" s="284"/>
      <c r="F47" s="281"/>
      <c r="G47" s="316" t="s">
        <v>337</v>
      </c>
      <c r="H47" s="317"/>
      <c r="I47" s="240" t="s">
        <v>201</v>
      </c>
      <c r="J47" s="241" t="s">
        <v>201</v>
      </c>
      <c r="K47" s="41"/>
      <c r="L47" s="41"/>
      <c r="M47" s="62">
        <f t="shared" si="3"/>
        <v>0</v>
      </c>
      <c r="N47" s="307"/>
      <c r="O47" s="138">
        <f t="shared" si="4"/>
        <v>0</v>
      </c>
      <c r="P47" s="80">
        <f>IF(OR(J47='1.基本データ(このシートは削除しないこと！)'!$D$13,'3.様式第11号-1(特別簡易型)'!J47='1.基本データ(このシートは削除しないこと！)'!$E$13),1,0)</f>
        <v>1</v>
      </c>
      <c r="Q47" s="78" t="str">
        <f>VLOOKUP(J47,リスト2!$C$3:$E$65,2,FALSE)</f>
        <v>-</v>
      </c>
      <c r="R47" s="79" t="e">
        <f>IF(OR(Q47='1.基本データ(このシートは削除しないこと！)'!$D$14,Q47='1.基本データ(このシートは削除しないこと！)'!$E$14),1,0)</f>
        <v>#N/A</v>
      </c>
      <c r="S47" s="78" t="str">
        <f>VLOOKUP(J47,リスト2!$C$3:$E$65,3,FALSE)</f>
        <v>-</v>
      </c>
      <c r="T47" s="79" t="e">
        <f>IF(OR(S47='1.基本データ(このシートは削除しないこと！)'!$D$15,S47='1.基本データ(このシートは削除しないこと！)'!$E$15),1,0)</f>
        <v>#N/A</v>
      </c>
      <c r="U47" s="82" t="e">
        <f t="shared" si="5"/>
        <v>#N/A</v>
      </c>
      <c r="V47" s="134">
        <f>IF(AND('1.基本データ(このシートは削除しないこと！)'!$D$11="全国",S47&lt;&gt;"-"),4,0)</f>
        <v>0</v>
      </c>
      <c r="W47" s="205" t="str">
        <f>VLOOKUP(J47,リスト2!$C$3:$F$65,4,FALSE)</f>
        <v>-</v>
      </c>
      <c r="X47" s="100">
        <v>0.75</v>
      </c>
      <c r="Y47" s="100">
        <v>0.75</v>
      </c>
      <c r="Z47" s="100">
        <v>0.75</v>
      </c>
      <c r="AB47" s="81" t="e">
        <f t="shared" si="7"/>
        <v>#N/A</v>
      </c>
      <c r="AC47" s="81" t="e">
        <f t="shared" si="8"/>
        <v>#N/A</v>
      </c>
      <c r="AD47" s="212" t="e">
        <f t="shared" si="6"/>
        <v>#N/A</v>
      </c>
      <c r="AE47" s="214" t="e">
        <f>IF('1.基本データ(このシートは削除しないこと！)'!$H$11=2,MAX(AB47:AC47),0)</f>
        <v>#N/A</v>
      </c>
      <c r="AF47" s="214" t="e">
        <f>IF('1.基本データ(このシートは削除しないこと！)'!$H$11=3,MAX(AB47:AD47),0)</f>
        <v>#N/A</v>
      </c>
      <c r="AG47" s="215" t="e">
        <f>IF(AND('1.基本データ(このシートは削除しないこと！)'!$H$11=4,W47="県内"),M47*Z47,0)</f>
        <v>#N/A</v>
      </c>
      <c r="AH47" s="114"/>
    </row>
    <row r="48" spans="1:45" ht="37.799999999999997" customHeight="1" thickBot="1" x14ac:dyDescent="0.25">
      <c r="A48" s="1"/>
      <c r="B48" s="312"/>
      <c r="C48" s="319"/>
      <c r="D48" s="321" t="s">
        <v>283</v>
      </c>
      <c r="E48" s="324">
        <f>X48</f>
        <v>1.25</v>
      </c>
      <c r="F48" s="313" t="e">
        <f>IF(OR($AK$40=0,M48+M49=0),"-",AH48)</f>
        <v>#N/A</v>
      </c>
      <c r="G48" s="316" t="s">
        <v>268</v>
      </c>
      <c r="H48" s="317"/>
      <c r="I48" s="240" t="s">
        <v>201</v>
      </c>
      <c r="J48" s="241" t="s">
        <v>201</v>
      </c>
      <c r="K48" s="41"/>
      <c r="L48" s="41"/>
      <c r="M48" s="91">
        <f t="shared" si="3"/>
        <v>0</v>
      </c>
      <c r="N48" s="306">
        <f>IF(SUM(M48:M49)&gt;0,1,0)+N46</f>
        <v>0</v>
      </c>
      <c r="O48" s="151">
        <f t="shared" si="4"/>
        <v>0</v>
      </c>
      <c r="P48" s="92">
        <f>IF(OR(J48='1.基本データ(このシートは削除しないこと！)'!$D$13,'3.様式第11号-1(特別簡易型)'!J48='1.基本データ(このシートは削除しないこと！)'!$E$13),1,0)</f>
        <v>1</v>
      </c>
      <c r="Q48" s="93" t="str">
        <f>VLOOKUP(J48,リスト2!$C$3:$E$65,2,FALSE)</f>
        <v>-</v>
      </c>
      <c r="R48" s="94" t="e">
        <f>IF(OR(Q48='1.基本データ(このシートは削除しないこと！)'!$D$14,Q48='1.基本データ(このシートは削除しないこと！)'!$E$14),1,0)</f>
        <v>#N/A</v>
      </c>
      <c r="S48" s="93" t="str">
        <f>VLOOKUP(J48,リスト2!$C$3:$E$65,3,FALSE)</f>
        <v>-</v>
      </c>
      <c r="T48" s="94" t="e">
        <f>IF(OR(S48='1.基本データ(このシートは削除しないこと！)'!$D$15,S48='1.基本データ(このシートは削除しないこと！)'!$E$15),1,0)</f>
        <v>#N/A</v>
      </c>
      <c r="U48" s="95" t="e">
        <f t="shared" ref="U48:U50" si="13">P48+R48+T48</f>
        <v>#N/A</v>
      </c>
      <c r="V48" s="133">
        <f>IF(AND('1.基本データ(このシートは削除しないこと！)'!$D$11="全国",S48&lt;&gt;"-"),4,0)</f>
        <v>0</v>
      </c>
      <c r="W48" s="205" t="str">
        <f>VLOOKUP(J48,リスト2!$C$3:$F$65,4,FALSE)</f>
        <v>-</v>
      </c>
      <c r="X48" s="99">
        <v>1.25</v>
      </c>
      <c r="Y48" s="99">
        <v>1.25</v>
      </c>
      <c r="Z48" s="99">
        <v>1.25</v>
      </c>
      <c r="AB48" s="97" t="e">
        <f t="shared" si="7"/>
        <v>#N/A</v>
      </c>
      <c r="AC48" s="97" t="e">
        <f t="shared" si="8"/>
        <v>#N/A</v>
      </c>
      <c r="AD48" s="97" t="e">
        <f t="shared" si="6"/>
        <v>#N/A</v>
      </c>
      <c r="AE48" s="210" t="e">
        <f>IF('1.基本データ(このシートは削除しないこと！)'!$H$11=2,MAX(AB48:AC48),0)</f>
        <v>#N/A</v>
      </c>
      <c r="AF48" s="210" t="e">
        <f>IF('1.基本データ(このシートは削除しないこと！)'!$H$11=3,MAX(AB48:AD48),0)</f>
        <v>#N/A</v>
      </c>
      <c r="AG48" s="211" t="e">
        <f>IF(AND('1.基本データ(このシートは削除しないこと！)'!$H$11=4,W48="県内"),M48*Z48,0)</f>
        <v>#N/A</v>
      </c>
      <c r="AH48" s="120" t="e">
        <f>IF(N48&lt;=2,MAX(AE48:AG49),"-")</f>
        <v>#N/A</v>
      </c>
    </row>
    <row r="49" spans="1:34" ht="37.799999999999997" customHeight="1" thickBot="1" x14ac:dyDescent="0.25">
      <c r="A49" s="1"/>
      <c r="B49" s="312"/>
      <c r="C49" s="319"/>
      <c r="D49" s="322"/>
      <c r="E49" s="284"/>
      <c r="F49" s="281"/>
      <c r="G49" s="316" t="s">
        <v>259</v>
      </c>
      <c r="H49" s="317"/>
      <c r="I49" s="240" t="s">
        <v>201</v>
      </c>
      <c r="J49" s="241" t="s">
        <v>201</v>
      </c>
      <c r="K49" s="38"/>
      <c r="L49" s="38"/>
      <c r="M49" s="62">
        <f t="shared" si="3"/>
        <v>0</v>
      </c>
      <c r="N49" s="307"/>
      <c r="O49" s="138">
        <f t="shared" si="4"/>
        <v>0</v>
      </c>
      <c r="P49" s="80">
        <f>IF(OR(J49='1.基本データ(このシートは削除しないこと！)'!$D$13,'3.様式第11号-1(特別簡易型)'!J49='1.基本データ(このシートは削除しないこと！)'!$E$13),1,0)</f>
        <v>1</v>
      </c>
      <c r="Q49" s="78" t="str">
        <f>VLOOKUP(J49,リスト2!$C$3:$E$65,2,FALSE)</f>
        <v>-</v>
      </c>
      <c r="R49" s="79" t="e">
        <f>IF(OR(Q49='1.基本データ(このシートは削除しないこと！)'!$D$14,Q49='1.基本データ(このシートは削除しないこと！)'!$E$14),1,0)</f>
        <v>#N/A</v>
      </c>
      <c r="S49" s="78" t="str">
        <f>VLOOKUP(J49,リスト2!$C$3:$E$65,3,FALSE)</f>
        <v>-</v>
      </c>
      <c r="T49" s="79" t="e">
        <f>IF(OR(S49='1.基本データ(このシートは削除しないこと！)'!$D$15,S49='1.基本データ(このシートは削除しないこと！)'!$E$15),1,0)</f>
        <v>#N/A</v>
      </c>
      <c r="U49" s="82" t="e">
        <f t="shared" si="13"/>
        <v>#N/A</v>
      </c>
      <c r="V49" s="134">
        <f>IF(AND('1.基本データ(このシートは削除しないこと！)'!$D$11="全国",S49&lt;&gt;"-"),4,0)</f>
        <v>0</v>
      </c>
      <c r="W49" s="205" t="str">
        <f>VLOOKUP(J49,リスト2!$C$3:$F$65,4,FALSE)</f>
        <v>-</v>
      </c>
      <c r="X49" s="100">
        <v>0.75</v>
      </c>
      <c r="Y49" s="100">
        <v>0.75</v>
      </c>
      <c r="Z49" s="100">
        <v>0.75</v>
      </c>
      <c r="AB49" s="81" t="e">
        <f t="shared" si="7"/>
        <v>#N/A</v>
      </c>
      <c r="AC49" s="81" t="e">
        <f t="shared" si="8"/>
        <v>#N/A</v>
      </c>
      <c r="AD49" s="212" t="e">
        <f t="shared" si="6"/>
        <v>#N/A</v>
      </c>
      <c r="AE49" s="214" t="e">
        <f>IF('1.基本データ(このシートは削除しないこと！)'!$H$11=2,MAX(AB49:AC49),0)</f>
        <v>#N/A</v>
      </c>
      <c r="AF49" s="214" t="e">
        <f>IF('1.基本データ(このシートは削除しないこと！)'!$H$11=3,MAX(AB49:AD49),0)</f>
        <v>#N/A</v>
      </c>
      <c r="AG49" s="215" t="e">
        <f>IF(AND('1.基本データ(このシートは削除しないこと！)'!$H$11=4,W49="県内"),M49*Z49,0)</f>
        <v>#N/A</v>
      </c>
      <c r="AH49" s="114"/>
    </row>
    <row r="50" spans="1:34" ht="65.400000000000006" customHeight="1" thickBot="1" x14ac:dyDescent="0.25">
      <c r="A50" s="1"/>
      <c r="B50" s="312"/>
      <c r="C50" s="319"/>
      <c r="D50" s="332" t="s">
        <v>207</v>
      </c>
      <c r="E50" s="324">
        <f>X50</f>
        <v>1.5</v>
      </c>
      <c r="F50" s="314" t="e">
        <f>IF(OR('1.基本データ(このシートは削除しないこと！)'!H10=10,$AK$40=0,M50+M51=0),"-",AH50)</f>
        <v>#N/A</v>
      </c>
      <c r="G50" s="334" t="s">
        <v>340</v>
      </c>
      <c r="H50" s="335"/>
      <c r="I50" s="240" t="s">
        <v>201</v>
      </c>
      <c r="J50" s="328" t="s">
        <v>201</v>
      </c>
      <c r="K50" s="41"/>
      <c r="L50" s="41"/>
      <c r="M50" s="91">
        <f t="shared" si="3"/>
        <v>0</v>
      </c>
      <c r="N50" s="306">
        <f>IF(SUM(M50:M51)&gt;0,1,0)+N48</f>
        <v>0</v>
      </c>
      <c r="O50" s="151">
        <f t="shared" si="4"/>
        <v>0</v>
      </c>
      <c r="P50" s="92">
        <f>IF(OR(J50='1.基本データ(このシートは削除しないこと！)'!$D$13,'3.様式第11号-1(特別簡易型)'!J50='1.基本データ(このシートは削除しないこと！)'!$E$13),1,0)</f>
        <v>1</v>
      </c>
      <c r="Q50" s="93" t="str">
        <f>VLOOKUP(J50,リスト2!$C$3:$E$65,2,FALSE)</f>
        <v>-</v>
      </c>
      <c r="R50" s="94" t="e">
        <f>IF(OR(Q50='1.基本データ(このシートは削除しないこと！)'!$D$14,Q50='1.基本データ(このシートは削除しないこと！)'!$E$14),1,0)</f>
        <v>#N/A</v>
      </c>
      <c r="S50" s="93" t="str">
        <f>VLOOKUP(J50,リスト2!$C$3:$E$65,3,FALSE)</f>
        <v>-</v>
      </c>
      <c r="T50" s="94" t="e">
        <f>IF(OR(S50='1.基本データ(このシートは削除しないこと！)'!$D$15,S50='1.基本データ(このシートは削除しないこと！)'!$E$15),1,0)</f>
        <v>#N/A</v>
      </c>
      <c r="U50" s="95" t="e">
        <f t="shared" si="13"/>
        <v>#N/A</v>
      </c>
      <c r="V50" s="95">
        <f>IF(AND('1.基本データ(このシートは削除しないこと！)'!$D$11="全国",S50&lt;&gt;"-"),4,0)</f>
        <v>0</v>
      </c>
      <c r="W50" s="205" t="str">
        <f>VLOOKUP(J50,リスト2!$C$3:$F$65,4,FALSE)</f>
        <v>-</v>
      </c>
      <c r="X50" s="96">
        <v>1.5</v>
      </c>
      <c r="Y50" s="96">
        <v>1.5</v>
      </c>
      <c r="Z50" s="96">
        <v>1.5</v>
      </c>
      <c r="AB50" s="97" t="e">
        <f t="shared" si="7"/>
        <v>#N/A</v>
      </c>
      <c r="AC50" s="209" t="e">
        <f t="shared" si="8"/>
        <v>#N/A</v>
      </c>
      <c r="AD50" s="97" t="e">
        <f t="shared" si="6"/>
        <v>#N/A</v>
      </c>
      <c r="AE50" s="210" t="e">
        <f>IF('1.基本データ(このシートは削除しないこと！)'!$H$11=2,MAX(AB50:AC50),0)</f>
        <v>#N/A</v>
      </c>
      <c r="AF50" s="210" t="e">
        <f>IF('1.基本データ(このシートは削除しないこと！)'!$H$11=3,MAX(AB50:AD50),0)</f>
        <v>#N/A</v>
      </c>
      <c r="AG50" s="211" t="e">
        <f>IF(AND('1.基本データ(このシートは削除しないこと！)'!$H$11=4,W50="県内"),M50*Z50,0)</f>
        <v>#N/A</v>
      </c>
      <c r="AH50" s="121" t="e">
        <f>IF(N50&lt;=2,MAX(AE50:AG51),"-")</f>
        <v>#N/A</v>
      </c>
    </row>
    <row r="51" spans="1:34" ht="51.6" customHeight="1" thickBot="1" x14ac:dyDescent="0.25">
      <c r="A51" s="1"/>
      <c r="B51" s="312"/>
      <c r="C51" s="320"/>
      <c r="D51" s="333"/>
      <c r="E51" s="325"/>
      <c r="F51" s="315"/>
      <c r="G51" s="330" t="s">
        <v>341</v>
      </c>
      <c r="H51" s="331"/>
      <c r="I51" s="240" t="s">
        <v>201</v>
      </c>
      <c r="J51" s="329"/>
      <c r="K51" s="41"/>
      <c r="L51" s="41"/>
      <c r="M51" s="62">
        <f t="shared" si="3"/>
        <v>0</v>
      </c>
      <c r="N51" s="307"/>
      <c r="O51" s="138">
        <f>O50</f>
        <v>0</v>
      </c>
      <c r="P51" s="80">
        <f>P50</f>
        <v>1</v>
      </c>
      <c r="Q51" s="78" t="str">
        <f>Q50</f>
        <v>-</v>
      </c>
      <c r="R51" s="79" t="e">
        <f t="shared" ref="R51:V51" si="14">R50</f>
        <v>#N/A</v>
      </c>
      <c r="S51" s="78" t="str">
        <f t="shared" si="14"/>
        <v>-</v>
      </c>
      <c r="T51" s="79" t="e">
        <f t="shared" si="14"/>
        <v>#N/A</v>
      </c>
      <c r="U51" s="82" t="e">
        <f t="shared" si="14"/>
        <v>#N/A</v>
      </c>
      <c r="V51" s="82">
        <f t="shared" si="14"/>
        <v>0</v>
      </c>
      <c r="W51" s="205" t="str">
        <f>W50</f>
        <v>-</v>
      </c>
      <c r="X51" s="100">
        <v>0.75</v>
      </c>
      <c r="Y51" s="100">
        <v>0.75</v>
      </c>
      <c r="Z51" s="100">
        <v>0.75</v>
      </c>
      <c r="AB51" s="212" t="e">
        <f>IF($M51*$U50=3,X51,0)</f>
        <v>#N/A</v>
      </c>
      <c r="AC51" s="213" t="e">
        <f>IF($M51*$U50=2,Y51,0)</f>
        <v>#N/A</v>
      </c>
      <c r="AD51" s="212" t="e">
        <f t="shared" si="6"/>
        <v>#N/A</v>
      </c>
      <c r="AE51" s="214" t="e">
        <f>IF('1.基本データ(このシートは削除しないこと！)'!$H$11=2,MAX(AB51:AC51),0)</f>
        <v>#N/A</v>
      </c>
      <c r="AF51" s="214" t="e">
        <f>IF('1.基本データ(このシートは削除しないこと！)'!$H$11=3,MAX(AB51:AD51),0)</f>
        <v>#N/A</v>
      </c>
      <c r="AG51" s="215" t="e">
        <f>IF(AND('1.基本データ(このシートは削除しないこと！)'!$H$11=4,W51="県内"),M51*Z51,0)</f>
        <v>#N/A</v>
      </c>
      <c r="AH51" s="115"/>
    </row>
    <row r="52" spans="1:34" ht="14.25" customHeight="1" x14ac:dyDescent="0.2">
      <c r="A52" s="1"/>
      <c r="B52" s="326" t="s">
        <v>164</v>
      </c>
      <c r="C52" s="326"/>
      <c r="D52" s="326"/>
      <c r="E52" s="326"/>
      <c r="F52" s="326"/>
      <c r="G52" s="326"/>
      <c r="H52" s="327"/>
      <c r="I52" s="327"/>
      <c r="J52" s="327"/>
    </row>
    <row r="53" spans="1:34" ht="13.5" customHeight="1" x14ac:dyDescent="0.2">
      <c r="A53" s="1"/>
      <c r="B53" s="295" t="s">
        <v>342</v>
      </c>
      <c r="C53" s="295"/>
      <c r="D53" s="295"/>
      <c r="E53" s="295"/>
      <c r="F53" s="295"/>
      <c r="G53" s="295"/>
      <c r="H53" s="295"/>
      <c r="I53" s="295"/>
      <c r="J53" s="295"/>
      <c r="M53" s="7"/>
      <c r="N53" s="7"/>
    </row>
    <row r="54" spans="1:34" ht="13.5" customHeight="1" x14ac:dyDescent="0.2">
      <c r="B54" s="295" t="s">
        <v>289</v>
      </c>
      <c r="C54" s="295"/>
      <c r="D54" s="295"/>
      <c r="E54" s="295"/>
      <c r="F54" s="295"/>
      <c r="G54" s="295"/>
      <c r="H54" s="295"/>
      <c r="I54" s="295"/>
      <c r="J54" s="295"/>
    </row>
    <row r="57" spans="1:34" ht="9" customHeight="1" x14ac:dyDescent="0.2"/>
    <row r="58" spans="1:34" ht="9" customHeight="1" x14ac:dyDescent="0.2"/>
    <row r="59" spans="1:34" ht="9" customHeight="1" x14ac:dyDescent="0.2"/>
    <row r="60" spans="1:34" ht="9" customHeight="1" x14ac:dyDescent="0.2"/>
  </sheetData>
  <sheetProtection algorithmName="SHA-512" hashValue="urKdMYAM+6J6roc+y74UyUG/pfryDbOxwf/djgOPb54M2tcix/CsYhPFBOw9O3/HC0ggBRU/PGbWyby0LuMvWQ==" saltValue="6Gv/p5qcj25U9pG7OSQGqw==" spinCount="100000" sheet="1" objects="1" scenarios="1"/>
  <mergeCells count="87">
    <mergeCell ref="E9:E10"/>
    <mergeCell ref="G29:J29"/>
    <mergeCell ref="I13:I16"/>
    <mergeCell ref="J13:J16"/>
    <mergeCell ref="I17:I20"/>
    <mergeCell ref="J17:J20"/>
    <mergeCell ref="F9:F10"/>
    <mergeCell ref="B25:J25"/>
    <mergeCell ref="B22:J22"/>
    <mergeCell ref="B21:J21"/>
    <mergeCell ref="F13:F16"/>
    <mergeCell ref="E27:I27"/>
    <mergeCell ref="C30:D30"/>
    <mergeCell ref="C9:D10"/>
    <mergeCell ref="C12:D12"/>
    <mergeCell ref="C13:D16"/>
    <mergeCell ref="C17:D20"/>
    <mergeCell ref="H1:I1"/>
    <mergeCell ref="B3:D3"/>
    <mergeCell ref="E3:I3"/>
    <mergeCell ref="B5:D5"/>
    <mergeCell ref="F6:F8"/>
    <mergeCell ref="B2:G2"/>
    <mergeCell ref="G5:J5"/>
    <mergeCell ref="C6:D8"/>
    <mergeCell ref="E6:E8"/>
    <mergeCell ref="J6:J8"/>
    <mergeCell ref="I6:I8"/>
    <mergeCell ref="B6:B20"/>
    <mergeCell ref="I12:J12"/>
    <mergeCell ref="E17:E20"/>
    <mergeCell ref="F17:F20"/>
    <mergeCell ref="E13:E16"/>
    <mergeCell ref="G48:H48"/>
    <mergeCell ref="B40:D40"/>
    <mergeCell ref="G31:H31"/>
    <mergeCell ref="G34:H34"/>
    <mergeCell ref="C31:D38"/>
    <mergeCell ref="E31:E38"/>
    <mergeCell ref="F31:F38"/>
    <mergeCell ref="B39:J39"/>
    <mergeCell ref="D48:D49"/>
    <mergeCell ref="E46:E47"/>
    <mergeCell ref="G43:H43"/>
    <mergeCell ref="G41:H41"/>
    <mergeCell ref="G42:H42"/>
    <mergeCell ref="G47:H47"/>
    <mergeCell ref="B53:J53"/>
    <mergeCell ref="B54:J54"/>
    <mergeCell ref="B52:G52"/>
    <mergeCell ref="H52:J52"/>
    <mergeCell ref="J50:J51"/>
    <mergeCell ref="G51:H51"/>
    <mergeCell ref="D50:D51"/>
    <mergeCell ref="G50:H50"/>
    <mergeCell ref="N50:N51"/>
    <mergeCell ref="C41:D41"/>
    <mergeCell ref="C42:D42"/>
    <mergeCell ref="B41:B51"/>
    <mergeCell ref="F48:F49"/>
    <mergeCell ref="F50:F51"/>
    <mergeCell ref="G49:H49"/>
    <mergeCell ref="G46:H46"/>
    <mergeCell ref="N46:N47"/>
    <mergeCell ref="N48:N49"/>
    <mergeCell ref="C43:C51"/>
    <mergeCell ref="D46:D47"/>
    <mergeCell ref="N43:N45"/>
    <mergeCell ref="E48:E49"/>
    <mergeCell ref="E50:E51"/>
    <mergeCell ref="F46:F47"/>
    <mergeCell ref="AH43:AH45"/>
    <mergeCell ref="D43:D45"/>
    <mergeCell ref="C11:D11"/>
    <mergeCell ref="G44:H44"/>
    <mergeCell ref="F43:F45"/>
    <mergeCell ref="E43:E45"/>
    <mergeCell ref="B29:D29"/>
    <mergeCell ref="B24:J24"/>
    <mergeCell ref="G40:H40"/>
    <mergeCell ref="I31:J38"/>
    <mergeCell ref="B23:J23"/>
    <mergeCell ref="B27:D27"/>
    <mergeCell ref="G45:H45"/>
    <mergeCell ref="G11:I11"/>
    <mergeCell ref="B30:B38"/>
    <mergeCell ref="H30:J30"/>
  </mergeCells>
  <phoneticPr fontId="35"/>
  <conditionalFormatting sqref="E41:F41 E48 E50:F50 E43:F43 F51 I41:I51 E46:F46">
    <cfRule type="expression" dxfId="23" priority="143">
      <formula>#REF!=0</formula>
    </cfRule>
  </conditionalFormatting>
  <conditionalFormatting sqref="F50:F51">
    <cfRule type="expression" dxfId="22" priority="156">
      <formula>#REF!=2</formula>
    </cfRule>
  </conditionalFormatting>
  <conditionalFormatting sqref="F43 F50:F51 I41:I51 F46">
    <cfRule type="expression" dxfId="21" priority="161">
      <formula>#REF!&gt;2</formula>
    </cfRule>
  </conditionalFormatting>
  <conditionalFormatting sqref="H36">
    <cfRule type="expression" dxfId="20" priority="90">
      <formula>#REF!=0</formula>
    </cfRule>
  </conditionalFormatting>
  <conditionalFormatting sqref="H33">
    <cfRule type="expression" dxfId="19" priority="96">
      <formula>#REF!=0</formula>
    </cfRule>
  </conditionalFormatting>
  <conditionalFormatting sqref="H33">
    <cfRule type="expression" dxfId="18" priority="97">
      <formula>#REF!&gt;2</formula>
    </cfRule>
  </conditionalFormatting>
  <conditionalFormatting sqref="F48">
    <cfRule type="expression" dxfId="17" priority="84">
      <formula>#REF!=0</formula>
    </cfRule>
  </conditionalFormatting>
  <conditionalFormatting sqref="F48">
    <cfRule type="expression" dxfId="16" priority="85">
      <formula>#REF!&gt;2</formula>
    </cfRule>
  </conditionalFormatting>
  <conditionalFormatting sqref="H36">
    <cfRule type="expression" dxfId="15" priority="91">
      <formula>#REF!&gt;2</formula>
    </cfRule>
  </conditionalFormatting>
  <conditionalFormatting sqref="G41">
    <cfRule type="expression" dxfId="14" priority="36">
      <formula>#REF!=0</formula>
    </cfRule>
  </conditionalFormatting>
  <conditionalFormatting sqref="G48:G49">
    <cfRule type="expression" dxfId="13" priority="21">
      <formula>#REF!=0</formula>
    </cfRule>
  </conditionalFormatting>
  <conditionalFormatting sqref="G48:G49">
    <cfRule type="expression" dxfId="12" priority="22">
      <formula>#REF!&gt;2</formula>
    </cfRule>
  </conditionalFormatting>
  <conditionalFormatting sqref="G47">
    <cfRule type="expression" dxfId="11" priority="11">
      <formula>#REF!=0</formula>
    </cfRule>
  </conditionalFormatting>
  <conditionalFormatting sqref="G47">
    <cfRule type="expression" dxfId="10" priority="12">
      <formula>#REF!&gt;2</formula>
    </cfRule>
  </conditionalFormatting>
  <conditionalFormatting sqref="G43:G45">
    <cfRule type="expression" dxfId="9" priority="9">
      <formula>#REF!=0</formula>
    </cfRule>
  </conditionalFormatting>
  <conditionalFormatting sqref="G43:G45">
    <cfRule type="expression" dxfId="8" priority="10">
      <formula>#REF!&gt;2</formula>
    </cfRule>
  </conditionalFormatting>
  <conditionalFormatting sqref="G51">
    <cfRule type="expression" dxfId="7" priority="6">
      <formula>#REF!=0</formula>
    </cfRule>
  </conditionalFormatting>
  <conditionalFormatting sqref="G51">
    <cfRule type="expression" dxfId="6" priority="7">
      <formula>#REF!=2</formula>
    </cfRule>
  </conditionalFormatting>
  <conditionalFormatting sqref="G51">
    <cfRule type="expression" dxfId="5" priority="8">
      <formula>#REF!&gt;2</formula>
    </cfRule>
  </conditionalFormatting>
  <conditionalFormatting sqref="G50">
    <cfRule type="expression" dxfId="4" priority="3">
      <formula>#REF!=0</formula>
    </cfRule>
  </conditionalFormatting>
  <conditionalFormatting sqref="G50">
    <cfRule type="expression" dxfId="3" priority="4">
      <formula>#REF!=2</formula>
    </cfRule>
  </conditionalFormatting>
  <conditionalFormatting sqref="G50">
    <cfRule type="expression" dxfId="2" priority="5">
      <formula>#REF!&gt;2</formula>
    </cfRule>
  </conditionalFormatting>
  <conditionalFormatting sqref="G46">
    <cfRule type="expression" dxfId="1" priority="1">
      <formula>#REF!=0</formula>
    </cfRule>
  </conditionalFormatting>
  <conditionalFormatting sqref="G46">
    <cfRule type="expression" dxfId="0" priority="2">
      <formula>#REF!&gt;2</formula>
    </cfRule>
  </conditionalFormatting>
  <pageMargins left="0.55118110236220474" right="0.55118110236220474" top="0.39370078740157483" bottom="0.19685039370078741" header="0.51181102362204722" footer="0.51181102362204722"/>
  <pageSetup paperSize="9" scale="78" orientation="portrait" r:id="rId1"/>
  <rowBreaks count="2" manualBreakCount="2">
    <brk id="1" min="1" max="15" man="1"/>
    <brk id="25" min="1" max="12"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リスト!$F$4:$F$6</xm:f>
          </x14:formula1>
          <xm:sqref>J10</xm:sqref>
        </x14:dataValidation>
        <x14:dataValidation type="list" allowBlank="1" showInputMessage="1" showErrorMessage="1">
          <x14:formula1>
            <xm:f>リスト!$K$9:$K$12</xm:f>
          </x14:formula1>
          <xm:sqref>H30</xm:sqref>
        </x14:dataValidation>
        <x14:dataValidation type="list" allowBlank="1" showInputMessage="1" showErrorMessage="1">
          <x14:formula1>
            <xm:f>リスト!$E$4:$E$7</xm:f>
          </x14:formula1>
          <xm:sqref>H7</xm:sqref>
        </x14:dataValidation>
        <x14:dataValidation type="list" allowBlank="1" showInputMessage="1" showErrorMessage="1">
          <x14:formula1>
            <xm:f>リスト!$M$4:$M$5</xm:f>
          </x14:formula1>
          <xm:sqref>I41:I51 J11</xm:sqref>
        </x14:dataValidation>
        <x14:dataValidation type="list" allowBlank="1" showInputMessage="1" showErrorMessage="1">
          <x14:formula1>
            <xm:f>リスト2!$C$3:$C$64</xm:f>
          </x14:formula1>
          <xm:sqref>H32 H35 J41:J51</xm:sqref>
        </x14:dataValidation>
        <x14:dataValidation type="list" allowBlank="1" showInputMessage="1" showErrorMessage="1">
          <x14:formula1>
            <xm:f>リスト!$H$4:$H$22</xm:f>
          </x14:formula1>
          <xm:sqref>J9</xm:sqref>
        </x14:dataValidation>
        <x14:dataValidation type="list" allowBlank="1" showInputMessage="1" showErrorMessage="1">
          <x14:formula1>
            <xm:f>リスト!$N$5:$N$7</xm:f>
          </x14:formula1>
          <xm:sqref>H36</xm:sqref>
        </x14:dataValidation>
        <x14:dataValidation type="list" allowBlank="1" showInputMessage="1" showErrorMessage="1">
          <x14:formula1>
            <xm:f>リスト!$N$4:$N$7</xm:f>
          </x14:formula1>
          <xm:sqref>H33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22"/>
  <sheetViews>
    <sheetView workbookViewId="0">
      <selection activeCell="D8" sqref="D8"/>
    </sheetView>
  </sheetViews>
  <sheetFormatPr defaultColWidth="9" defaultRowHeight="13.2" x14ac:dyDescent="0.2"/>
  <cols>
    <col min="1" max="1" width="33.109375" style="22" customWidth="1"/>
    <col min="2" max="4" width="9" style="22"/>
    <col min="5" max="8" width="18.77734375" style="22" customWidth="1"/>
    <col min="9" max="9" width="35.21875" style="22" customWidth="1"/>
    <col min="10" max="10" width="5" style="22" customWidth="1"/>
    <col min="11" max="11" width="48" style="22" customWidth="1"/>
    <col min="12" max="12" width="25.109375" style="22" customWidth="1"/>
    <col min="13" max="13" width="5.88671875" style="22" customWidth="1"/>
    <col min="14" max="14" width="38.44140625" style="22" customWidth="1"/>
    <col min="15" max="15" width="22.33203125" style="22" customWidth="1"/>
    <col min="16" max="16384" width="9" style="22"/>
  </cols>
  <sheetData>
    <row r="3" spans="1:14" x14ac:dyDescent="0.2">
      <c r="A3" s="22" t="s">
        <v>58</v>
      </c>
      <c r="B3" s="22" t="s">
        <v>51</v>
      </c>
      <c r="E3" s="22" t="s">
        <v>32</v>
      </c>
      <c r="F3" s="22" t="s">
        <v>158</v>
      </c>
      <c r="G3" s="22" t="s">
        <v>163</v>
      </c>
      <c r="H3" s="22" t="s">
        <v>142</v>
      </c>
      <c r="I3" s="22" t="s">
        <v>33</v>
      </c>
      <c r="K3" s="23" t="s">
        <v>34</v>
      </c>
      <c r="L3" s="22" t="s">
        <v>35</v>
      </c>
      <c r="M3" s="22" t="s">
        <v>36</v>
      </c>
      <c r="N3" s="22" t="s">
        <v>273</v>
      </c>
    </row>
    <row r="4" spans="1:14" x14ac:dyDescent="0.2">
      <c r="A4" s="22" t="s">
        <v>57</v>
      </c>
      <c r="B4" s="22" t="s">
        <v>52</v>
      </c>
      <c r="E4" s="22" t="s">
        <v>37</v>
      </c>
      <c r="F4" s="22" t="s">
        <v>159</v>
      </c>
      <c r="G4" s="22" t="s">
        <v>159</v>
      </c>
      <c r="H4" s="22" t="s">
        <v>48</v>
      </c>
      <c r="I4" s="22" t="s">
        <v>203</v>
      </c>
      <c r="K4" s="22" t="s">
        <v>233</v>
      </c>
      <c r="L4" s="22" t="s">
        <v>40</v>
      </c>
      <c r="M4" s="22" t="s">
        <v>41</v>
      </c>
      <c r="N4" s="22" t="s">
        <v>274</v>
      </c>
    </row>
    <row r="5" spans="1:14" x14ac:dyDescent="0.2">
      <c r="A5" s="22" t="s">
        <v>56</v>
      </c>
      <c r="B5" s="22" t="s">
        <v>53</v>
      </c>
      <c r="E5" s="22" t="s">
        <v>43</v>
      </c>
      <c r="F5" s="22" t="s">
        <v>160</v>
      </c>
      <c r="G5" s="22" t="s">
        <v>48</v>
      </c>
      <c r="H5" s="22" t="s">
        <v>143</v>
      </c>
      <c r="I5" s="22" t="s">
        <v>11</v>
      </c>
      <c r="K5" s="22" t="s">
        <v>48</v>
      </c>
      <c r="L5" s="22" t="s">
        <v>45</v>
      </c>
      <c r="M5" s="22" t="s">
        <v>48</v>
      </c>
      <c r="N5" s="22" t="s">
        <v>42</v>
      </c>
    </row>
    <row r="6" spans="1:14" x14ac:dyDescent="0.2">
      <c r="B6" s="22" t="s">
        <v>12</v>
      </c>
      <c r="E6" s="22" t="s">
        <v>46</v>
      </c>
      <c r="F6" s="22" t="s">
        <v>48</v>
      </c>
      <c r="H6" s="22" t="s">
        <v>144</v>
      </c>
      <c r="I6" s="22" t="s">
        <v>48</v>
      </c>
      <c r="L6" s="22" t="s">
        <v>48</v>
      </c>
      <c r="N6" s="22" t="s">
        <v>11</v>
      </c>
    </row>
    <row r="7" spans="1:14" x14ac:dyDescent="0.2">
      <c r="B7" s="22" t="s">
        <v>54</v>
      </c>
      <c r="E7" s="22" t="s">
        <v>48</v>
      </c>
      <c r="H7" s="22" t="s">
        <v>208</v>
      </c>
      <c r="N7" s="22" t="s">
        <v>48</v>
      </c>
    </row>
    <row r="8" spans="1:14" x14ac:dyDescent="0.2">
      <c r="H8" s="22" t="s">
        <v>209</v>
      </c>
    </row>
    <row r="9" spans="1:14" x14ac:dyDescent="0.2">
      <c r="H9" s="22" t="s">
        <v>210</v>
      </c>
      <c r="K9" s="22" t="s">
        <v>234</v>
      </c>
    </row>
    <row r="10" spans="1:14" x14ac:dyDescent="0.2">
      <c r="H10" s="22" t="s">
        <v>211</v>
      </c>
      <c r="K10" s="22" t="s">
        <v>235</v>
      </c>
    </row>
    <row r="11" spans="1:14" x14ac:dyDescent="0.2">
      <c r="H11" s="22" t="s">
        <v>212</v>
      </c>
      <c r="K11" s="22" t="s">
        <v>237</v>
      </c>
    </row>
    <row r="12" spans="1:14" x14ac:dyDescent="0.2">
      <c r="H12" s="22" t="s">
        <v>213</v>
      </c>
      <c r="K12" s="22" t="s">
        <v>236</v>
      </c>
    </row>
    <row r="13" spans="1:14" x14ac:dyDescent="0.2">
      <c r="H13" s="22" t="s">
        <v>214</v>
      </c>
    </row>
    <row r="14" spans="1:14" x14ac:dyDescent="0.2">
      <c r="H14" s="22" t="s">
        <v>215</v>
      </c>
    </row>
    <row r="15" spans="1:14" x14ac:dyDescent="0.2">
      <c r="H15" s="22" t="s">
        <v>216</v>
      </c>
    </row>
    <row r="16" spans="1:14" x14ac:dyDescent="0.2">
      <c r="H16" s="22" t="s">
        <v>217</v>
      </c>
    </row>
    <row r="17" spans="8:8" x14ac:dyDescent="0.2">
      <c r="H17" s="22" t="s">
        <v>218</v>
      </c>
    </row>
    <row r="18" spans="8:8" x14ac:dyDescent="0.2">
      <c r="H18" s="22" t="s">
        <v>219</v>
      </c>
    </row>
    <row r="19" spans="8:8" x14ac:dyDescent="0.2">
      <c r="H19" s="22" t="s">
        <v>220</v>
      </c>
    </row>
    <row r="20" spans="8:8" x14ac:dyDescent="0.2">
      <c r="H20" s="22" t="s">
        <v>221</v>
      </c>
    </row>
    <row r="21" spans="8:8" x14ac:dyDescent="0.2">
      <c r="H21" s="22" t="s">
        <v>222</v>
      </c>
    </row>
    <row r="22" spans="8:8" x14ac:dyDescent="0.2">
      <c r="H22" s="22" t="s">
        <v>223</v>
      </c>
    </row>
  </sheetData>
  <sheetProtection algorithmName="SHA-512" hashValue="Y1X/eH5t0u3Z0Cj8p+aKTnlQebRGttSq43kcq5nIY2w2IAd9LyB26E9DcbsT4g1sA5RxRhrPLkKQYCbPf6/4aA==" saltValue="A0bAEzVw/LhmiP6tkeQGAA==" spinCount="100000" sheet="1" objects="1" scenarios="1"/>
  <phoneticPr fontId="3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C3" sqref="C3"/>
    </sheetView>
  </sheetViews>
  <sheetFormatPr defaultRowHeight="13.2" x14ac:dyDescent="0.2"/>
  <cols>
    <col min="3" max="3" width="29.21875" customWidth="1"/>
    <col min="4" max="4" width="21" customWidth="1"/>
    <col min="5" max="5" width="23.109375" customWidth="1"/>
  </cols>
  <sheetData>
    <row r="2" spans="2:9" ht="39" customHeight="1" x14ac:dyDescent="0.2">
      <c r="B2" s="25" t="s">
        <v>173</v>
      </c>
      <c r="C2" s="25" t="s">
        <v>139</v>
      </c>
      <c r="D2" s="59" t="s">
        <v>172</v>
      </c>
      <c r="E2" s="25" t="s">
        <v>140</v>
      </c>
      <c r="F2" s="204" t="s">
        <v>319</v>
      </c>
      <c r="G2" s="25" t="s">
        <v>51</v>
      </c>
      <c r="H2" s="3" t="s">
        <v>228</v>
      </c>
      <c r="I2" s="3"/>
    </row>
    <row r="3" spans="2:9" x14ac:dyDescent="0.2">
      <c r="B3" s="60">
        <v>1</v>
      </c>
      <c r="C3" s="60" t="s">
        <v>82</v>
      </c>
      <c r="D3" s="60" t="s">
        <v>61</v>
      </c>
      <c r="E3" s="60" t="s">
        <v>77</v>
      </c>
      <c r="F3" s="3" t="s">
        <v>320</v>
      </c>
      <c r="G3" s="60" t="s">
        <v>52</v>
      </c>
      <c r="H3" s="3" t="s">
        <v>176</v>
      </c>
      <c r="I3" s="3">
        <v>2</v>
      </c>
    </row>
    <row r="4" spans="2:9" x14ac:dyDescent="0.2">
      <c r="B4" s="60">
        <v>2</v>
      </c>
      <c r="C4" s="60" t="s">
        <v>83</v>
      </c>
      <c r="D4" s="60" t="s">
        <v>61</v>
      </c>
      <c r="E4" s="60" t="s">
        <v>77</v>
      </c>
      <c r="F4" s="3" t="s">
        <v>320</v>
      </c>
      <c r="G4" s="60" t="s">
        <v>53</v>
      </c>
      <c r="H4" s="3" t="s">
        <v>177</v>
      </c>
      <c r="I4" s="3">
        <v>3</v>
      </c>
    </row>
    <row r="5" spans="2:9" x14ac:dyDescent="0.2">
      <c r="B5" s="60">
        <v>3</v>
      </c>
      <c r="C5" s="60" t="s">
        <v>84</v>
      </c>
      <c r="D5" s="60" t="s">
        <v>62</v>
      </c>
      <c r="E5" s="60" t="s">
        <v>77</v>
      </c>
      <c r="F5" s="3" t="s">
        <v>320</v>
      </c>
      <c r="G5" s="60" t="s">
        <v>12</v>
      </c>
      <c r="H5" s="3" t="s">
        <v>177</v>
      </c>
      <c r="I5" s="3">
        <v>3</v>
      </c>
    </row>
    <row r="6" spans="2:9" x14ac:dyDescent="0.2">
      <c r="B6" s="60">
        <v>4</v>
      </c>
      <c r="C6" s="60" t="s">
        <v>85</v>
      </c>
      <c r="D6" s="60" t="s">
        <v>62</v>
      </c>
      <c r="E6" s="60" t="s">
        <v>77</v>
      </c>
      <c r="F6" s="3" t="s">
        <v>320</v>
      </c>
      <c r="G6" s="60" t="s">
        <v>54</v>
      </c>
      <c r="H6" s="3" t="s">
        <v>12</v>
      </c>
      <c r="I6" s="3">
        <v>4</v>
      </c>
    </row>
    <row r="7" spans="2:9" x14ac:dyDescent="0.2">
      <c r="B7" s="60">
        <v>5</v>
      </c>
      <c r="C7" s="60" t="s">
        <v>86</v>
      </c>
      <c r="D7" s="60" t="s">
        <v>62</v>
      </c>
      <c r="E7" s="60" t="s">
        <v>77</v>
      </c>
      <c r="F7" s="3" t="s">
        <v>320</v>
      </c>
      <c r="G7" s="60" t="s">
        <v>48</v>
      </c>
      <c r="H7" s="3"/>
      <c r="I7" s="3"/>
    </row>
    <row r="8" spans="2:9" x14ac:dyDescent="0.2">
      <c r="B8" s="60">
        <v>6</v>
      </c>
      <c r="C8" s="60" t="s">
        <v>87</v>
      </c>
      <c r="D8" s="60" t="s">
        <v>63</v>
      </c>
      <c r="E8" s="60" t="s">
        <v>77</v>
      </c>
      <c r="F8" s="3" t="s">
        <v>320</v>
      </c>
    </row>
    <row r="9" spans="2:9" x14ac:dyDescent="0.2">
      <c r="B9" s="60">
        <v>7</v>
      </c>
      <c r="C9" s="60" t="s">
        <v>88</v>
      </c>
      <c r="D9" s="60" t="s">
        <v>63</v>
      </c>
      <c r="E9" s="60" t="s">
        <v>77</v>
      </c>
      <c r="F9" s="3" t="s">
        <v>320</v>
      </c>
    </row>
    <row r="10" spans="2:9" x14ac:dyDescent="0.2">
      <c r="B10" s="60">
        <v>8</v>
      </c>
      <c r="C10" s="60" t="s">
        <v>89</v>
      </c>
      <c r="D10" s="60" t="s">
        <v>63</v>
      </c>
      <c r="E10" s="60" t="s">
        <v>77</v>
      </c>
      <c r="F10" s="3" t="s">
        <v>320</v>
      </c>
    </row>
    <row r="11" spans="2:9" x14ac:dyDescent="0.2">
      <c r="B11" s="60">
        <v>9</v>
      </c>
      <c r="C11" s="60" t="s">
        <v>90</v>
      </c>
      <c r="D11" s="60" t="s">
        <v>69</v>
      </c>
      <c r="E11" s="60" t="s">
        <v>64</v>
      </c>
      <c r="F11" s="3" t="s">
        <v>320</v>
      </c>
    </row>
    <row r="12" spans="2:9" x14ac:dyDescent="0.2">
      <c r="B12" s="60">
        <v>10</v>
      </c>
      <c r="C12" s="60" t="s">
        <v>91</v>
      </c>
      <c r="D12" s="60" t="s">
        <v>65</v>
      </c>
      <c r="E12" s="60" t="s">
        <v>64</v>
      </c>
      <c r="F12" s="3" t="s">
        <v>320</v>
      </c>
    </row>
    <row r="13" spans="2:9" x14ac:dyDescent="0.2">
      <c r="B13" s="60">
        <v>11</v>
      </c>
      <c r="C13" s="60" t="s">
        <v>92</v>
      </c>
      <c r="D13" s="60" t="s">
        <v>65</v>
      </c>
      <c r="E13" s="60" t="s">
        <v>64</v>
      </c>
      <c r="F13" s="3" t="s">
        <v>320</v>
      </c>
    </row>
    <row r="14" spans="2:9" x14ac:dyDescent="0.2">
      <c r="B14" s="60">
        <v>12</v>
      </c>
      <c r="C14" s="60" t="s">
        <v>93</v>
      </c>
      <c r="D14" s="60" t="s">
        <v>65</v>
      </c>
      <c r="E14" s="60" t="s">
        <v>64</v>
      </c>
      <c r="F14" s="3" t="s">
        <v>320</v>
      </c>
    </row>
    <row r="15" spans="2:9" x14ac:dyDescent="0.2">
      <c r="B15" s="60">
        <v>13</v>
      </c>
      <c r="C15" s="60" t="s">
        <v>94</v>
      </c>
      <c r="D15" s="60" t="s">
        <v>66</v>
      </c>
      <c r="E15" s="60" t="s">
        <v>64</v>
      </c>
      <c r="F15" s="3" t="s">
        <v>320</v>
      </c>
    </row>
    <row r="16" spans="2:9" x14ac:dyDescent="0.2">
      <c r="B16" s="60">
        <v>14</v>
      </c>
      <c r="C16" s="60" t="s">
        <v>95</v>
      </c>
      <c r="D16" s="60" t="s">
        <v>66</v>
      </c>
      <c r="E16" s="60" t="s">
        <v>64</v>
      </c>
      <c r="F16" s="3" t="s">
        <v>320</v>
      </c>
    </row>
    <row r="17" spans="2:6" x14ac:dyDescent="0.2">
      <c r="B17" s="60">
        <v>15</v>
      </c>
      <c r="C17" s="60" t="s">
        <v>96</v>
      </c>
      <c r="D17" s="60" t="s">
        <v>66</v>
      </c>
      <c r="E17" s="60" t="s">
        <v>64</v>
      </c>
      <c r="F17" s="3" t="s">
        <v>320</v>
      </c>
    </row>
    <row r="18" spans="2:6" x14ac:dyDescent="0.2">
      <c r="B18" s="60">
        <v>16</v>
      </c>
      <c r="C18" s="60" t="s">
        <v>97</v>
      </c>
      <c r="D18" s="60" t="s">
        <v>67</v>
      </c>
      <c r="E18" s="60" t="s">
        <v>64</v>
      </c>
      <c r="F18" s="3" t="s">
        <v>320</v>
      </c>
    </row>
    <row r="19" spans="2:6" x14ac:dyDescent="0.2">
      <c r="B19" s="60">
        <v>17</v>
      </c>
      <c r="C19" s="60" t="s">
        <v>98</v>
      </c>
      <c r="D19" s="60" t="s">
        <v>67</v>
      </c>
      <c r="E19" s="60" t="s">
        <v>64</v>
      </c>
      <c r="F19" s="3" t="s">
        <v>320</v>
      </c>
    </row>
    <row r="20" spans="2:6" x14ac:dyDescent="0.2">
      <c r="B20" s="60">
        <v>18</v>
      </c>
      <c r="C20" s="60" t="s">
        <v>99</v>
      </c>
      <c r="D20" s="60" t="s">
        <v>67</v>
      </c>
      <c r="E20" s="60" t="s">
        <v>64</v>
      </c>
      <c r="F20" s="3" t="s">
        <v>320</v>
      </c>
    </row>
    <row r="21" spans="2:6" x14ac:dyDescent="0.2">
      <c r="B21" s="60">
        <v>19</v>
      </c>
      <c r="C21" s="60" t="s">
        <v>100</v>
      </c>
      <c r="D21" s="60" t="s">
        <v>67</v>
      </c>
      <c r="E21" s="60" t="s">
        <v>64</v>
      </c>
      <c r="F21" s="3" t="s">
        <v>320</v>
      </c>
    </row>
    <row r="22" spans="2:6" x14ac:dyDescent="0.2">
      <c r="B22" s="60">
        <v>20</v>
      </c>
      <c r="C22" s="60" t="s">
        <v>101</v>
      </c>
      <c r="D22" s="60" t="s">
        <v>67</v>
      </c>
      <c r="E22" s="60" t="s">
        <v>64</v>
      </c>
      <c r="F22" s="3" t="s">
        <v>320</v>
      </c>
    </row>
    <row r="23" spans="2:6" x14ac:dyDescent="0.2">
      <c r="B23" s="60">
        <v>21</v>
      </c>
      <c r="C23" s="60" t="s">
        <v>102</v>
      </c>
      <c r="D23" s="60" t="s">
        <v>68</v>
      </c>
      <c r="E23" s="61" t="s">
        <v>78</v>
      </c>
      <c r="F23" s="3" t="s">
        <v>320</v>
      </c>
    </row>
    <row r="24" spans="2:6" x14ac:dyDescent="0.2">
      <c r="B24" s="60">
        <v>22</v>
      </c>
      <c r="C24" s="60" t="s">
        <v>103</v>
      </c>
      <c r="D24" s="60" t="s">
        <v>68</v>
      </c>
      <c r="E24" s="61" t="s">
        <v>78</v>
      </c>
      <c r="F24" s="3" t="s">
        <v>320</v>
      </c>
    </row>
    <row r="25" spans="2:6" x14ac:dyDescent="0.2">
      <c r="B25" s="60">
        <v>23</v>
      </c>
      <c r="C25" s="60" t="s">
        <v>104</v>
      </c>
      <c r="D25" s="60" t="s">
        <v>68</v>
      </c>
      <c r="E25" s="61" t="s">
        <v>78</v>
      </c>
      <c r="F25" s="3" t="s">
        <v>320</v>
      </c>
    </row>
    <row r="26" spans="2:6" x14ac:dyDescent="0.2">
      <c r="B26" s="60">
        <v>24</v>
      </c>
      <c r="C26" s="60" t="s">
        <v>105</v>
      </c>
      <c r="D26" s="60" t="s">
        <v>68</v>
      </c>
      <c r="E26" s="61" t="s">
        <v>78</v>
      </c>
      <c r="F26" s="3" t="s">
        <v>320</v>
      </c>
    </row>
    <row r="27" spans="2:6" x14ac:dyDescent="0.2">
      <c r="B27" s="60">
        <v>25</v>
      </c>
      <c r="C27" s="60" t="s">
        <v>106</v>
      </c>
      <c r="D27" s="60" t="s">
        <v>68</v>
      </c>
      <c r="E27" s="61" t="s">
        <v>78</v>
      </c>
      <c r="F27" s="3" t="s">
        <v>320</v>
      </c>
    </row>
    <row r="28" spans="2:6" x14ac:dyDescent="0.2">
      <c r="B28" s="60">
        <v>26</v>
      </c>
      <c r="C28" s="60" t="s">
        <v>107</v>
      </c>
      <c r="D28" s="60" t="s">
        <v>70</v>
      </c>
      <c r="E28" s="61" t="s">
        <v>78</v>
      </c>
      <c r="F28" s="3" t="s">
        <v>320</v>
      </c>
    </row>
    <row r="29" spans="2:6" x14ac:dyDescent="0.2">
      <c r="B29" s="60">
        <v>27</v>
      </c>
      <c r="C29" s="60" t="s">
        <v>108</v>
      </c>
      <c r="D29" s="60" t="s">
        <v>70</v>
      </c>
      <c r="E29" s="61" t="s">
        <v>78</v>
      </c>
      <c r="F29" s="3" t="s">
        <v>320</v>
      </c>
    </row>
    <row r="30" spans="2:6" x14ac:dyDescent="0.2">
      <c r="B30" s="60">
        <v>28</v>
      </c>
      <c r="C30" s="60" t="s">
        <v>109</v>
      </c>
      <c r="D30" s="60" t="s">
        <v>70</v>
      </c>
      <c r="E30" s="61" t="s">
        <v>78</v>
      </c>
      <c r="F30" s="3" t="s">
        <v>320</v>
      </c>
    </row>
    <row r="31" spans="2:6" x14ac:dyDescent="0.2">
      <c r="B31" s="60">
        <v>29</v>
      </c>
      <c r="C31" s="60" t="s">
        <v>110</v>
      </c>
      <c r="D31" s="60" t="s">
        <v>70</v>
      </c>
      <c r="E31" s="61" t="s">
        <v>78</v>
      </c>
      <c r="F31" s="3" t="s">
        <v>320</v>
      </c>
    </row>
    <row r="32" spans="2:6" x14ac:dyDescent="0.2">
      <c r="B32" s="60">
        <v>30</v>
      </c>
      <c r="C32" s="60" t="s">
        <v>111</v>
      </c>
      <c r="D32" s="60" t="s">
        <v>71</v>
      </c>
      <c r="E32" s="61" t="s">
        <v>79</v>
      </c>
      <c r="F32" s="3" t="s">
        <v>320</v>
      </c>
    </row>
    <row r="33" spans="2:6" x14ac:dyDescent="0.2">
      <c r="B33" s="60">
        <v>31</v>
      </c>
      <c r="C33" s="60" t="s">
        <v>112</v>
      </c>
      <c r="D33" s="60" t="s">
        <v>71</v>
      </c>
      <c r="E33" s="61" t="s">
        <v>79</v>
      </c>
      <c r="F33" s="3" t="s">
        <v>320</v>
      </c>
    </row>
    <row r="34" spans="2:6" x14ac:dyDescent="0.2">
      <c r="B34" s="60">
        <v>32</v>
      </c>
      <c r="C34" s="60" t="s">
        <v>113</v>
      </c>
      <c r="D34" s="60" t="s">
        <v>71</v>
      </c>
      <c r="E34" s="61" t="s">
        <v>79</v>
      </c>
      <c r="F34" s="3" t="s">
        <v>320</v>
      </c>
    </row>
    <row r="35" spans="2:6" x14ac:dyDescent="0.2">
      <c r="B35" s="60">
        <v>33</v>
      </c>
      <c r="C35" s="60" t="s">
        <v>114</v>
      </c>
      <c r="D35" s="60" t="s">
        <v>71</v>
      </c>
      <c r="E35" s="61" t="s">
        <v>79</v>
      </c>
      <c r="F35" s="3" t="s">
        <v>320</v>
      </c>
    </row>
    <row r="36" spans="2:6" x14ac:dyDescent="0.2">
      <c r="B36" s="60">
        <v>34</v>
      </c>
      <c r="C36" s="60" t="s">
        <v>115</v>
      </c>
      <c r="D36" s="60" t="s">
        <v>72</v>
      </c>
      <c r="E36" s="61" t="s">
        <v>79</v>
      </c>
      <c r="F36" s="3" t="s">
        <v>320</v>
      </c>
    </row>
    <row r="37" spans="2:6" x14ac:dyDescent="0.2">
      <c r="B37" s="60">
        <v>35</v>
      </c>
      <c r="C37" s="60" t="s">
        <v>116</v>
      </c>
      <c r="D37" s="60" t="s">
        <v>72</v>
      </c>
      <c r="E37" s="61" t="s">
        <v>79</v>
      </c>
      <c r="F37" s="3" t="s">
        <v>320</v>
      </c>
    </row>
    <row r="38" spans="2:6" x14ac:dyDescent="0.2">
      <c r="B38" s="60">
        <v>36</v>
      </c>
      <c r="C38" s="60" t="s">
        <v>117</v>
      </c>
      <c r="D38" s="60" t="s">
        <v>72</v>
      </c>
      <c r="E38" s="61" t="s">
        <v>79</v>
      </c>
      <c r="F38" s="3" t="s">
        <v>320</v>
      </c>
    </row>
    <row r="39" spans="2:6" x14ac:dyDescent="0.2">
      <c r="B39" s="60">
        <v>37</v>
      </c>
      <c r="C39" s="60" t="s">
        <v>118</v>
      </c>
      <c r="D39" s="60" t="s">
        <v>72</v>
      </c>
      <c r="E39" s="61" t="s">
        <v>79</v>
      </c>
      <c r="F39" s="3" t="s">
        <v>320</v>
      </c>
    </row>
    <row r="40" spans="2:6" x14ac:dyDescent="0.2">
      <c r="B40" s="60">
        <v>38</v>
      </c>
      <c r="C40" s="60" t="s">
        <v>38</v>
      </c>
      <c r="D40" s="60" t="s">
        <v>39</v>
      </c>
      <c r="E40" s="60" t="s">
        <v>40</v>
      </c>
      <c r="F40" s="3" t="s">
        <v>320</v>
      </c>
    </row>
    <row r="41" spans="2:6" x14ac:dyDescent="0.2">
      <c r="B41" s="60">
        <v>39</v>
      </c>
      <c r="C41" s="60" t="s">
        <v>123</v>
      </c>
      <c r="D41" s="60" t="s">
        <v>39</v>
      </c>
      <c r="E41" s="60" t="s">
        <v>40</v>
      </c>
      <c r="F41" s="3" t="s">
        <v>320</v>
      </c>
    </row>
    <row r="42" spans="2:6" x14ac:dyDescent="0.2">
      <c r="B42" s="60">
        <v>40</v>
      </c>
      <c r="C42" s="60" t="s">
        <v>47</v>
      </c>
      <c r="D42" s="60" t="s">
        <v>39</v>
      </c>
      <c r="E42" s="60" t="s">
        <v>40</v>
      </c>
      <c r="F42" s="3" t="s">
        <v>320</v>
      </c>
    </row>
    <row r="43" spans="2:6" x14ac:dyDescent="0.2">
      <c r="B43" s="60">
        <v>41</v>
      </c>
      <c r="C43" s="60" t="s">
        <v>49</v>
      </c>
      <c r="D43" s="60" t="s">
        <v>44</v>
      </c>
      <c r="E43" s="60" t="s">
        <v>40</v>
      </c>
      <c r="F43" s="3" t="s">
        <v>320</v>
      </c>
    </row>
    <row r="44" spans="2:6" x14ac:dyDescent="0.2">
      <c r="B44" s="60">
        <v>42</v>
      </c>
      <c r="C44" s="60" t="s">
        <v>50</v>
      </c>
      <c r="D44" s="60" t="s">
        <v>44</v>
      </c>
      <c r="E44" s="60" t="s">
        <v>40</v>
      </c>
      <c r="F44" s="3" t="s">
        <v>320</v>
      </c>
    </row>
    <row r="45" spans="2:6" x14ac:dyDescent="0.2">
      <c r="B45" s="60">
        <v>43</v>
      </c>
      <c r="C45" s="60" t="s">
        <v>124</v>
      </c>
      <c r="D45" s="60" t="s">
        <v>44</v>
      </c>
      <c r="E45" s="60" t="s">
        <v>40</v>
      </c>
      <c r="F45" s="3" t="s">
        <v>320</v>
      </c>
    </row>
    <row r="46" spans="2:6" x14ac:dyDescent="0.2">
      <c r="B46" s="60">
        <v>44</v>
      </c>
      <c r="C46" s="60" t="s">
        <v>119</v>
      </c>
      <c r="D46" s="60" t="s">
        <v>73</v>
      </c>
      <c r="E46" s="60" t="s">
        <v>45</v>
      </c>
      <c r="F46" s="3" t="s">
        <v>320</v>
      </c>
    </row>
    <row r="47" spans="2:6" x14ac:dyDescent="0.2">
      <c r="B47" s="60">
        <v>45</v>
      </c>
      <c r="C47" s="60" t="s">
        <v>121</v>
      </c>
      <c r="D47" s="60" t="s">
        <v>73</v>
      </c>
      <c r="E47" s="60" t="s">
        <v>45</v>
      </c>
      <c r="F47" s="3" t="s">
        <v>320</v>
      </c>
    </row>
    <row r="48" spans="2:6" x14ac:dyDescent="0.2">
      <c r="B48" s="60">
        <v>46</v>
      </c>
      <c r="C48" s="60" t="s">
        <v>122</v>
      </c>
      <c r="D48" s="60" t="s">
        <v>74</v>
      </c>
      <c r="E48" s="60" t="s">
        <v>45</v>
      </c>
      <c r="F48" s="3" t="s">
        <v>320</v>
      </c>
    </row>
    <row r="49" spans="2:6" x14ac:dyDescent="0.2">
      <c r="B49" s="60">
        <v>47</v>
      </c>
      <c r="C49" s="60" t="s">
        <v>120</v>
      </c>
      <c r="D49" s="60" t="s">
        <v>74</v>
      </c>
      <c r="E49" s="60" t="s">
        <v>45</v>
      </c>
      <c r="F49" s="3" t="s">
        <v>320</v>
      </c>
    </row>
    <row r="50" spans="2:6" x14ac:dyDescent="0.2">
      <c r="B50" s="60">
        <v>48</v>
      </c>
      <c r="C50" s="60" t="s">
        <v>125</v>
      </c>
      <c r="D50" s="60" t="s">
        <v>74</v>
      </c>
      <c r="E50" s="60" t="s">
        <v>45</v>
      </c>
      <c r="F50" s="3" t="s">
        <v>320</v>
      </c>
    </row>
    <row r="51" spans="2:6" x14ac:dyDescent="0.2">
      <c r="B51" s="60">
        <v>49</v>
      </c>
      <c r="C51" s="60" t="s">
        <v>126</v>
      </c>
      <c r="D51" s="60" t="s">
        <v>75</v>
      </c>
      <c r="E51" s="60" t="s">
        <v>80</v>
      </c>
      <c r="F51" s="3" t="s">
        <v>320</v>
      </c>
    </row>
    <row r="52" spans="2:6" x14ac:dyDescent="0.2">
      <c r="B52" s="60">
        <v>50</v>
      </c>
      <c r="C52" s="60" t="s">
        <v>127</v>
      </c>
      <c r="D52" s="60" t="s">
        <v>75</v>
      </c>
      <c r="E52" s="60" t="s">
        <v>80</v>
      </c>
      <c r="F52" s="3" t="s">
        <v>320</v>
      </c>
    </row>
    <row r="53" spans="2:6" x14ac:dyDescent="0.2">
      <c r="B53" s="60">
        <v>51</v>
      </c>
      <c r="C53" s="60" t="s">
        <v>128</v>
      </c>
      <c r="D53" s="60" t="s">
        <v>75</v>
      </c>
      <c r="E53" s="60" t="s">
        <v>80</v>
      </c>
      <c r="F53" s="3" t="s">
        <v>320</v>
      </c>
    </row>
    <row r="54" spans="2:6" x14ac:dyDescent="0.2">
      <c r="B54" s="60">
        <v>52</v>
      </c>
      <c r="C54" s="60" t="s">
        <v>129</v>
      </c>
      <c r="D54" s="60" t="s">
        <v>75</v>
      </c>
      <c r="E54" s="60" t="s">
        <v>80</v>
      </c>
      <c r="F54" s="3" t="s">
        <v>320</v>
      </c>
    </row>
    <row r="55" spans="2:6" x14ac:dyDescent="0.2">
      <c r="B55" s="60">
        <v>53</v>
      </c>
      <c r="C55" s="60" t="s">
        <v>130</v>
      </c>
      <c r="D55" s="60" t="s">
        <v>76</v>
      </c>
      <c r="E55" s="60" t="s">
        <v>80</v>
      </c>
      <c r="F55" s="3" t="s">
        <v>320</v>
      </c>
    </row>
    <row r="56" spans="2:6" x14ac:dyDescent="0.2">
      <c r="B56" s="60">
        <v>54</v>
      </c>
      <c r="C56" s="60" t="s">
        <v>131</v>
      </c>
      <c r="D56" s="60" t="s">
        <v>76</v>
      </c>
      <c r="E56" s="60" t="s">
        <v>80</v>
      </c>
      <c r="F56" s="3" t="s">
        <v>320</v>
      </c>
    </row>
    <row r="57" spans="2:6" x14ac:dyDescent="0.2">
      <c r="B57" s="60">
        <v>55</v>
      </c>
      <c r="C57" s="60" t="s">
        <v>132</v>
      </c>
      <c r="D57" s="60" t="s">
        <v>76</v>
      </c>
      <c r="E57" s="60" t="s">
        <v>80</v>
      </c>
      <c r="F57" s="3" t="s">
        <v>320</v>
      </c>
    </row>
    <row r="58" spans="2:6" x14ac:dyDescent="0.2">
      <c r="B58" s="60">
        <v>56</v>
      </c>
      <c r="C58" s="60" t="s">
        <v>133</v>
      </c>
      <c r="D58" s="60" t="s">
        <v>76</v>
      </c>
      <c r="E58" s="60" t="s">
        <v>80</v>
      </c>
      <c r="F58" s="3" t="s">
        <v>320</v>
      </c>
    </row>
    <row r="59" spans="2:6" x14ac:dyDescent="0.2">
      <c r="B59" s="60">
        <v>57</v>
      </c>
      <c r="C59" s="60" t="s">
        <v>134</v>
      </c>
      <c r="D59" s="60" t="s">
        <v>76</v>
      </c>
      <c r="E59" s="60" t="s">
        <v>80</v>
      </c>
      <c r="F59" s="3" t="s">
        <v>320</v>
      </c>
    </row>
    <row r="60" spans="2:6" x14ac:dyDescent="0.2">
      <c r="B60" s="60">
        <v>58</v>
      </c>
      <c r="C60" s="60" t="s">
        <v>135</v>
      </c>
      <c r="D60" s="60" t="s">
        <v>76</v>
      </c>
      <c r="E60" s="60" t="s">
        <v>80</v>
      </c>
      <c r="F60" s="3" t="s">
        <v>320</v>
      </c>
    </row>
    <row r="61" spans="2:6" x14ac:dyDescent="0.2">
      <c r="B61" s="60">
        <v>59</v>
      </c>
      <c r="C61" s="60" t="s">
        <v>136</v>
      </c>
      <c r="D61" s="60" t="s">
        <v>76</v>
      </c>
      <c r="E61" s="60" t="s">
        <v>80</v>
      </c>
      <c r="F61" s="3" t="s">
        <v>320</v>
      </c>
    </row>
    <row r="62" spans="2:6" x14ac:dyDescent="0.2">
      <c r="B62" s="60">
        <v>60</v>
      </c>
      <c r="C62" s="60" t="s">
        <v>137</v>
      </c>
      <c r="D62" s="60" t="s">
        <v>76</v>
      </c>
      <c r="E62" s="60" t="s">
        <v>80</v>
      </c>
      <c r="F62" s="3" t="s">
        <v>320</v>
      </c>
    </row>
    <row r="63" spans="2:6" x14ac:dyDescent="0.2">
      <c r="B63" s="60">
        <v>61</v>
      </c>
      <c r="C63" s="60" t="s">
        <v>138</v>
      </c>
      <c r="D63" s="60" t="s">
        <v>81</v>
      </c>
      <c r="E63" s="60" t="s">
        <v>81</v>
      </c>
      <c r="F63" s="3" t="s">
        <v>320</v>
      </c>
    </row>
    <row r="64" spans="2:6" x14ac:dyDescent="0.2">
      <c r="B64" s="60">
        <v>62</v>
      </c>
      <c r="C64" s="3" t="s">
        <v>48</v>
      </c>
      <c r="D64" s="3" t="s">
        <v>48</v>
      </c>
      <c r="E64" s="3" t="s">
        <v>48</v>
      </c>
      <c r="F64" s="3" t="s">
        <v>321</v>
      </c>
    </row>
    <row r="65" spans="2:6" x14ac:dyDescent="0.2">
      <c r="B65" s="3"/>
      <c r="C65" s="3" t="s">
        <v>174</v>
      </c>
      <c r="D65" s="3" t="s">
        <v>174</v>
      </c>
      <c r="E65" s="3" t="s">
        <v>174</v>
      </c>
      <c r="F65" s="3" t="s">
        <v>322</v>
      </c>
    </row>
  </sheetData>
  <sheetProtection algorithmName="SHA-512" hashValue="AUFRjIcJ9TjFuaxM49hVDCplMmVanBPUDEFN1wgjexeibvTsMptzaxOZ//y0OsvPmvIXKS229x0AHDs3wuVNAg==" saltValue="FGhsJOwV7DOw0dt80T7iuA==" spinCount="10000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1.基本データ(このシートは削除しないこと！)</vt:lpstr>
      <vt:lpstr>2.様式第1号(特別簡易型)</vt:lpstr>
      <vt:lpstr>3.様式第11号-1(特別簡易型)</vt:lpstr>
      <vt:lpstr>リスト</vt:lpstr>
      <vt:lpstr>リスト2</vt:lpstr>
      <vt:lpstr>'1.基本データ(このシートは削除しないこと！)'!Print_Area</vt:lpstr>
      <vt:lpstr>'2.様式第1号(特別簡易型)'!Print_Area</vt:lpstr>
      <vt:lpstr>'3.様式第11号-1(特別簡易型)'!Print_Area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伊藤 経介</cp:lastModifiedBy>
  <cp:lastPrinted>2020-03-17T06:13:21Z</cp:lastPrinted>
  <dcterms:created xsi:type="dcterms:W3CDTF">2018-06-11T09:00:18Z</dcterms:created>
  <dcterms:modified xsi:type="dcterms:W3CDTF">2020-05-14T04:36:43Z</dcterms:modified>
</cp:coreProperties>
</file>