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5" windowWidth="15315" windowHeight="5130" tabRatio="683" activeTab="0"/>
  </bookViews>
  <sheets>
    <sheet name="1、２表" sheetId="1" r:id="rId1"/>
    <sheet name="３表" sheetId="2" r:id="rId2"/>
    <sheet name="４表" sheetId="3" r:id="rId3"/>
    <sheet name="５表" sheetId="4" r:id="rId4"/>
    <sheet name="６表" sheetId="5" r:id="rId5"/>
    <sheet name="７、８表" sheetId="6" r:id="rId6"/>
    <sheet name="1表 参考資料(1)" sheetId="7" state="hidden" r:id="rId7"/>
    <sheet name="帳票61_03(1)　２表参考資料" sheetId="8" state="hidden" r:id="rId8"/>
    <sheet name="7、8表　参考資料" sheetId="9" state="hidden" r:id="rId9"/>
  </sheets>
  <definedNames>
    <definedName name="_xlnm.Print_Area" localSheetId="0">'1、２表'!$A$1:$AA$40</definedName>
    <definedName name="_xlnm.Print_Area" localSheetId="6">'1表 参考資料(1)'!$A$1:$Q$67</definedName>
    <definedName name="_xlnm.Print_Area" localSheetId="2">'４表'!$A$1:$W$30</definedName>
    <definedName name="_xlnm.Print_Area" localSheetId="3">'５表'!$A$1:$X$29</definedName>
    <definedName name="_xlnm.Print_Area" localSheetId="5">'７、８表'!$A$1:$Q$54</definedName>
  </definedNames>
  <calcPr calcMode="autoNoTable" fullCalcOnLoad="1" iterate="1" iterateCount="1" iterateDelta="0"/>
</workbook>
</file>

<file path=xl/comments7.xml><?xml version="1.0" encoding="utf-8"?>
<comments xmlns="http://schemas.openxmlformats.org/spreadsheetml/2006/main">
  <authors>
    <author>install</author>
  </authors>
  <commentList>
    <comment ref="A1" authorId="0">
      <text>
        <r>
          <rPr>
            <sz val="9"/>
            <rFont val="ＭＳ Ｐゴシック"/>
            <family val="3"/>
          </rPr>
          <t xml:space="preserve">平成１９年度は、決算統計串刺しデータよりコピーした。
１８年度数値は決算の概要速報時に作成する当該資料(仁井田さん作成を一部加工)で把握できるが、H17年度以前の数値はH１８決算統計とりまとめ（６０団体）の１１３列～１２３列のデータから把握した。
</t>
        </r>
      </text>
    </comment>
  </commentList>
</comments>
</file>

<file path=xl/comments9.xml><?xml version="1.0" encoding="utf-8"?>
<comments xmlns="http://schemas.openxmlformats.org/spreadsheetml/2006/main">
  <authors>
    <author>F-Admin</author>
  </authors>
  <commentList>
    <comment ref="A3" authorId="0">
      <text>
        <r>
          <rPr>
            <b/>
            <sz val="9"/>
            <rFont val="ＭＳ Ｐゴシック"/>
            <family val="3"/>
          </rPr>
          <t>Ｈ１８（前年度）の決算統計串刺しデータの３３－５７－９とは一致しない。（修正等いろいろな理由による。）</t>
        </r>
      </text>
    </comment>
  </commentList>
</comments>
</file>

<file path=xl/sharedStrings.xml><?xml version="1.0" encoding="utf-8"?>
<sst xmlns="http://schemas.openxmlformats.org/spreadsheetml/2006/main" count="745" uniqueCount="482">
  <si>
    <t>歳入総額</t>
  </si>
  <si>
    <t>歳出総額</t>
  </si>
  <si>
    <t>単年度収支</t>
  </si>
  <si>
    <t>積立金</t>
  </si>
  <si>
    <t>繰上償還金</t>
  </si>
  <si>
    <t>(A)</t>
  </si>
  <si>
    <t>(B)</t>
  </si>
  <si>
    <t>(F)</t>
  </si>
  <si>
    <t>(G)</t>
  </si>
  <si>
    <t>(H)</t>
  </si>
  <si>
    <t>(I)</t>
  </si>
  <si>
    <t>１継続費逓次繰越額</t>
  </si>
  <si>
    <t>２繰越明許費繰越額</t>
  </si>
  <si>
    <t>３事故繰越繰越額</t>
  </si>
  <si>
    <t>合計（１～５）</t>
  </si>
  <si>
    <t>翌年度に繰り越すべき財源</t>
  </si>
  <si>
    <t>国庫支出金</t>
  </si>
  <si>
    <t>地方債</t>
  </si>
  <si>
    <t>市</t>
  </si>
  <si>
    <t>町　村</t>
  </si>
  <si>
    <t>市町村計</t>
  </si>
  <si>
    <t>第３表　歳入の状況(決算)</t>
  </si>
  <si>
    <t>町　　村</t>
  </si>
  <si>
    <t>構成比</t>
  </si>
  <si>
    <t>増減額</t>
  </si>
  <si>
    <t>増減率</t>
  </si>
  <si>
    <t>　（１）普通交付税</t>
  </si>
  <si>
    <t>　（２）特別交付税</t>
  </si>
  <si>
    <t xml:space="preserve">     （一般財源小計）</t>
  </si>
  <si>
    <t>合　　　計</t>
  </si>
  <si>
    <t>経常一般財源等</t>
  </si>
  <si>
    <t>自　主　財　源</t>
  </si>
  <si>
    <t>依　存　財　源</t>
  </si>
  <si>
    <t>第４表　市町村税の状況(決算）</t>
  </si>
  <si>
    <t>１</t>
  </si>
  <si>
    <t>均　等　割</t>
  </si>
  <si>
    <t>所　得　割</t>
  </si>
  <si>
    <t>小　　　計</t>
  </si>
  <si>
    <t>税　　　割</t>
  </si>
  <si>
    <t>税</t>
  </si>
  <si>
    <t>　　　計</t>
  </si>
  <si>
    <t>２</t>
  </si>
  <si>
    <t>土　　地</t>
  </si>
  <si>
    <t>家　　屋</t>
  </si>
  <si>
    <t>償却資産</t>
  </si>
  <si>
    <t>小　　計</t>
  </si>
  <si>
    <t>３</t>
  </si>
  <si>
    <t>　軽自動車税</t>
  </si>
  <si>
    <t>４</t>
  </si>
  <si>
    <t>市町村たばこ税</t>
  </si>
  <si>
    <t>５</t>
  </si>
  <si>
    <t>　鉱　産　税</t>
  </si>
  <si>
    <t>６</t>
  </si>
  <si>
    <t>特別土地保有税</t>
  </si>
  <si>
    <t>　</t>
  </si>
  <si>
    <t>普　通　税　計</t>
  </si>
  <si>
    <t>７</t>
  </si>
  <si>
    <t>　入　湯　税</t>
  </si>
  <si>
    <t>目</t>
  </si>
  <si>
    <t>　事業所税</t>
  </si>
  <si>
    <t>的</t>
  </si>
  <si>
    <t>　都市計画税</t>
  </si>
  <si>
    <t>　小　　　計</t>
  </si>
  <si>
    <t>８</t>
  </si>
  <si>
    <t>　旧法による税</t>
  </si>
  <si>
    <t>第５表　性質別歳出の状況(決算）</t>
  </si>
  <si>
    <t>　（１）補助事業費</t>
  </si>
  <si>
    <t>　（２）単独事業費</t>
  </si>
  <si>
    <t>１０　積　立　金</t>
  </si>
  <si>
    <t>１１　投資及び出資金</t>
  </si>
  <si>
    <t>１２　貸　付　金</t>
  </si>
  <si>
    <t>１３　繰　出　金</t>
  </si>
  <si>
    <t>１４　前年度繰上充用金</t>
  </si>
  <si>
    <t>合　　計</t>
  </si>
  <si>
    <t>義　務　的　経　費</t>
  </si>
  <si>
    <t>投　資　的　経　費</t>
  </si>
  <si>
    <t>1,4,9</t>
  </si>
  <si>
    <t>6,7</t>
  </si>
  <si>
    <t>第６表　目的別歳出の状況(決算）</t>
  </si>
  <si>
    <t>１０　教　育　費</t>
  </si>
  <si>
    <t>１１　災害復旧費</t>
  </si>
  <si>
    <t>１２　公　債　費</t>
  </si>
  <si>
    <t>１３　諸支出金</t>
  </si>
  <si>
    <t>第７表　年度末地方債未償還元金現在高の状況</t>
  </si>
  <si>
    <t>第８表　債務負担行為の状況</t>
  </si>
  <si>
    <t>（単位　千円　％）</t>
  </si>
  <si>
    <t>差</t>
  </si>
  <si>
    <t>区　　　　　　分</t>
  </si>
  <si>
    <t>一般公共事業債</t>
  </si>
  <si>
    <t>債務負担行為限度額　　　　　　　　　 Ａ</t>
  </si>
  <si>
    <t>Ａのうち</t>
  </si>
  <si>
    <t>土地の購入に係るもの</t>
  </si>
  <si>
    <t>建造物の購入に係るもの</t>
  </si>
  <si>
    <t>その他の物件の購入に係るもの</t>
  </si>
  <si>
    <t>製造 ・工事の請負に係るもの</t>
  </si>
  <si>
    <t>債務保証、損失補償に係るもの</t>
  </si>
  <si>
    <t>そ　　の　　他</t>
  </si>
  <si>
    <t>【付表】　将来の財政負担</t>
  </si>
  <si>
    <t>区　分</t>
  </si>
  <si>
    <t>Ａ／Ｇ</t>
  </si>
  <si>
    <t>Ｂ／Ｇ</t>
  </si>
  <si>
    <t>Ｄ／Ｇ</t>
  </si>
  <si>
    <t>Ｆ／Ｇ</t>
  </si>
  <si>
    <t>（Ａ＋Ｂ）／Ｇ</t>
  </si>
  <si>
    <t>市　部</t>
  </si>
  <si>
    <t>町村部</t>
  </si>
  <si>
    <t>合　計</t>
  </si>
  <si>
    <t>第２表　予算繰越等の状況</t>
  </si>
  <si>
    <t>実質収支　　　　　　　(E)</t>
  </si>
  <si>
    <t>積立金　　　　　　　　取崩し額</t>
  </si>
  <si>
    <t>(C)　(A)-(B)</t>
  </si>
  <si>
    <t>　(D)</t>
  </si>
  <si>
    <t>(C)-(D)</t>
  </si>
  <si>
    <t>(F+G+H-I)</t>
  </si>
  <si>
    <t>４事業            繰越額</t>
  </si>
  <si>
    <t>５支払           繰延額</t>
  </si>
  <si>
    <t>(A)</t>
  </si>
  <si>
    <t>(B)</t>
  </si>
  <si>
    <t>(A-B)</t>
  </si>
  <si>
    <t>区　　分</t>
  </si>
  <si>
    <t>Ｂのうち一般財源等を財源とするもの   C</t>
  </si>
  <si>
    <t>割　　　　　　　　　　合</t>
  </si>
  <si>
    <t>Ａ＋Ｂ－Ｅ　　Ｆ</t>
  </si>
  <si>
    <t>翌年度以降の支出予定額　　　　　　Ｂ</t>
  </si>
  <si>
    <t>（増減率）　　　　　増　減　額</t>
  </si>
  <si>
    <t>地域財政特例対策債</t>
  </si>
  <si>
    <t>財政対策債</t>
  </si>
  <si>
    <t>臨時財政対策債</t>
  </si>
  <si>
    <t>市町村計</t>
  </si>
  <si>
    <t>合　　　　　計</t>
  </si>
  <si>
    <t>内</t>
  </si>
  <si>
    <t>訳</t>
  </si>
  <si>
    <t>(単位：千円、％）</t>
  </si>
  <si>
    <t>(単位:千円、％）</t>
  </si>
  <si>
    <t>翌年度に繰り越すべき財源</t>
  </si>
  <si>
    <t>（単位：千円　％）</t>
  </si>
  <si>
    <t>　　　うち財源対策債等</t>
  </si>
  <si>
    <t>Ｄのうち財政調整基金及び減債基金
Ｅ</t>
  </si>
  <si>
    <t>第１表　決算収支の状況</t>
  </si>
  <si>
    <t>（単位：千円、％）</t>
  </si>
  <si>
    <t>歳入歳出　　　　　　差引額</t>
  </si>
  <si>
    <t>実質単年度収　　　支</t>
  </si>
  <si>
    <t>市</t>
  </si>
  <si>
    <t>伸び率</t>
  </si>
  <si>
    <t>増　　　　減</t>
  </si>
  <si>
    <t>１1年度決算</t>
  </si>
  <si>
    <t>町　　村</t>
  </si>
  <si>
    <t>（単位：千円）</t>
  </si>
  <si>
    <t>区　　　　分</t>
  </si>
  <si>
    <t>(A)のうち未収入特定財源</t>
  </si>
  <si>
    <t xml:space="preserve"> （B)　　の　　内　　訳</t>
  </si>
  <si>
    <t>その他</t>
  </si>
  <si>
    <t>（単位　千円　％）</t>
  </si>
  <si>
    <t>区　　分</t>
  </si>
  <si>
    <t xml:space="preserve">　　 増減率 </t>
  </si>
  <si>
    <t>計画増減率</t>
  </si>
  <si>
    <t>１　　地　方　税</t>
  </si>
  <si>
    <t>２　　地方譲与税</t>
  </si>
  <si>
    <t>３　　利子割交付金</t>
  </si>
  <si>
    <t>４　配当割交付金</t>
  </si>
  <si>
    <t>５　株式等譲渡所得割交付金</t>
  </si>
  <si>
    <t>６　　地方消費税交付金</t>
  </si>
  <si>
    <t>７　　ｺﾞﾙﾌ場利用税交付金</t>
  </si>
  <si>
    <t>８　　特別地方消費税交付金</t>
  </si>
  <si>
    <t>９　　自動車取得税交付金</t>
  </si>
  <si>
    <t>１０　　地方特例交付金</t>
  </si>
  <si>
    <t>１１　　地方交付税</t>
  </si>
  <si>
    <t>１２　交通安全対策特別交付金</t>
  </si>
  <si>
    <t>１３　分担金・負担金</t>
  </si>
  <si>
    <t>１４　使用料・手数料</t>
  </si>
  <si>
    <t>１５　国庫支出金</t>
  </si>
  <si>
    <t>１６　国有施設助成交付金</t>
  </si>
  <si>
    <t>１７　県支出金</t>
  </si>
  <si>
    <t>１８　財産収入</t>
  </si>
  <si>
    <t>１９　寄　附　金</t>
  </si>
  <si>
    <t>２０　繰　入　金</t>
  </si>
  <si>
    <t>２１　繰　越　金</t>
  </si>
  <si>
    <t>２２　諸　収　入</t>
  </si>
  <si>
    <t>２３　地　方　債</t>
  </si>
  <si>
    <t>区　　分</t>
  </si>
  <si>
    <t>１　　人　件　費</t>
  </si>
  <si>
    <t>２　　物　件　費</t>
  </si>
  <si>
    <t>３　　維持補修費</t>
  </si>
  <si>
    <t>４　　扶　助　費</t>
  </si>
  <si>
    <t>５　　補助費等</t>
  </si>
  <si>
    <t>６　　普通建設事業費</t>
  </si>
  <si>
    <t>７　　災害復旧事業費</t>
  </si>
  <si>
    <t>８　　失業対策事業費</t>
  </si>
  <si>
    <t>９　　公　債　費</t>
  </si>
  <si>
    <t>経常的経費充当一般財源</t>
  </si>
  <si>
    <t>そ の他  の 経 費</t>
  </si>
  <si>
    <t>１　　議　会　費</t>
  </si>
  <si>
    <t>２　　総　務　費</t>
  </si>
  <si>
    <t>３　　民　生　費</t>
  </si>
  <si>
    <t>４　　衛　生　費</t>
  </si>
  <si>
    <t>５　　労　働　費</t>
  </si>
  <si>
    <t>７　　商　工　費</t>
  </si>
  <si>
    <t>８　　土　木　費</t>
  </si>
  <si>
    <t>９　　消　防　費</t>
  </si>
  <si>
    <t>18</t>
  </si>
  <si>
    <t>02-01-2</t>
  </si>
  <si>
    <t>02-01-3</t>
  </si>
  <si>
    <t>02-01-4</t>
  </si>
  <si>
    <t>02-01-5</t>
  </si>
  <si>
    <t>02-01-6</t>
  </si>
  <si>
    <t>02-01-7</t>
  </si>
  <si>
    <t>02-01-8</t>
  </si>
  <si>
    <t>02-01-9</t>
  </si>
  <si>
    <t>02-01-10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</si>
  <si>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</si>
  <si>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</si>
  <si>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</si>
  <si>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</si>
  <si>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</si>
  <si>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</si>
  <si>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</si>
  <si>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</si>
  <si>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</si>
  <si>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</si>
  <si>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</si>
  <si>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</si>
  <si>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</si>
  <si>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</si>
  <si>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</si>
  <si>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</si>
  <si>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</si>
  <si>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</si>
  <si>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</si>
  <si>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</si>
  <si>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</si>
  <si>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</si>
  <si>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</si>
  <si>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</si>
  <si>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</si>
  <si>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</si>
  <si>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</si>
  <si>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</si>
  <si>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</si>
  <si>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</si>
  <si>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</si>
  <si>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</si>
  <si>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</si>
  <si>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</si>
  <si>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</si>
  <si>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</si>
  <si>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</si>
  <si>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</si>
  <si>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</si>
  <si>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</si>
  <si>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</si>
  <si>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</si>
  <si>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</si>
  <si>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</si>
  <si>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</si>
  <si>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</si>
  <si>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</si>
  <si>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</si>
  <si>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</si>
  <si>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</si>
  <si>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</si>
  <si>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</si>
  <si>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</si>
  <si>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</si>
  <si>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</si>
  <si>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</si>
  <si>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</si>
  <si>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飯館村</t>
  </si>
  <si>
    <t>合計</t>
  </si>
  <si>
    <t>歳入総額</t>
  </si>
  <si>
    <t>歳出総額</t>
  </si>
  <si>
    <t>歳入歳出差引</t>
  </si>
  <si>
    <t>翌年度に繰り越すべき額</t>
  </si>
  <si>
    <t>実質収支</t>
  </si>
  <si>
    <t>単年度収支</t>
  </si>
  <si>
    <t>積立金</t>
  </si>
  <si>
    <t>繰上償還金</t>
  </si>
  <si>
    <t>積立金取崩し額</t>
  </si>
  <si>
    <t>実質単年度収支</t>
  </si>
  <si>
    <t>02-01-1</t>
  </si>
  <si>
    <t>本宮市</t>
  </si>
  <si>
    <t>南会津町</t>
  </si>
  <si>
    <t>市計</t>
  </si>
  <si>
    <t>町村計</t>
  </si>
  <si>
    <t>Ｈ１８</t>
  </si>
  <si>
    <t>串差しデータ→</t>
  </si>
  <si>
    <t>１８年度決算</t>
  </si>
  <si>
    <t>Ｈ１７</t>
  </si>
  <si>
    <t>Ｈ１６</t>
  </si>
  <si>
    <t>H18決算統計とりまとめデータよりコピー（６０団体ベース）</t>
  </si>
  <si>
    <t>表</t>
  </si>
  <si>
    <t>行</t>
  </si>
  <si>
    <t>列</t>
  </si>
  <si>
    <t>本宮市</t>
  </si>
  <si>
    <t>市計</t>
  </si>
  <si>
    <t>南会津町</t>
  </si>
  <si>
    <t>飯舘村</t>
  </si>
  <si>
    <t>町村計</t>
  </si>
  <si>
    <t>▲ 42.9</t>
  </si>
  <si>
    <t>▲ 8.7</t>
  </si>
  <si>
    <t>▲ 1.6</t>
  </si>
  <si>
    <t>▲ 0.6</t>
  </si>
  <si>
    <t>▲ 2.5</t>
  </si>
  <si>
    <t>▲ 2.0</t>
  </si>
  <si>
    <t>▲ 15.9</t>
  </si>
  <si>
    <t>▲ 15.3</t>
  </si>
  <si>
    <t>▲ 2.2</t>
  </si>
  <si>
    <t>▲1.5</t>
  </si>
  <si>
    <t>▲3.8</t>
  </si>
  <si>
    <t>▲1.2</t>
  </si>
  <si>
    <t>▲3.6</t>
  </si>
  <si>
    <t>▲2.6</t>
  </si>
  <si>
    <t>▲22.3</t>
  </si>
  <si>
    <t>▲87.1</t>
  </si>
  <si>
    <t>▲0.7</t>
  </si>
  <si>
    <t>▲ 2.7</t>
  </si>
  <si>
    <t>▲ 0.7</t>
  </si>
  <si>
    <t>▲ 0.8</t>
  </si>
  <si>
    <t>▲ 5.0</t>
  </si>
  <si>
    <t>▲ 6.8</t>
  </si>
  <si>
    <t>▲ 9.9</t>
  </si>
  <si>
    <t>▲ 18.7</t>
  </si>
  <si>
    <t>▲ 4.4</t>
  </si>
  <si>
    <t>▲ 53.8</t>
  </si>
  <si>
    <t>▲ 1.5</t>
  </si>
  <si>
    <t>▲ 0.3</t>
  </si>
  <si>
    <t>▲ 65.9</t>
  </si>
  <si>
    <t>▲ 0.4</t>
  </si>
  <si>
    <t>▲ 5.4</t>
  </si>
  <si>
    <t>公営住宅建設事業債</t>
  </si>
  <si>
    <t>災害復旧事業債</t>
  </si>
  <si>
    <t>　　うち学校教育施設等整備事業債</t>
  </si>
  <si>
    <t>　　うち社会福祉施設整備事業債</t>
  </si>
  <si>
    <t>　　うち一般廃棄物処理事業債</t>
  </si>
  <si>
    <t>　　うち一般補助施設整備等事業債</t>
  </si>
  <si>
    <t>一般単独事業債</t>
  </si>
  <si>
    <t>　　うち地域総合整備事業債</t>
  </si>
  <si>
    <t>　　うち合併特例事業債</t>
  </si>
  <si>
    <t>　　うち地域再生事業債</t>
  </si>
  <si>
    <t>辺地対策事業債</t>
  </si>
  <si>
    <t>過疎対策事業債</t>
  </si>
  <si>
    <t>公共用地先行取得等事業債</t>
  </si>
  <si>
    <t>行政改革推進債</t>
  </si>
  <si>
    <t>厚生福祉施設整備事業債</t>
  </si>
  <si>
    <t>国の予算貸付等</t>
  </si>
  <si>
    <t>地域改善対策特定事業債</t>
  </si>
  <si>
    <t>財源対策債　</t>
  </si>
  <si>
    <t>臨時財政特例債</t>
  </si>
  <si>
    <t>公共事業等臨時特例債</t>
  </si>
  <si>
    <t>減税補てん債</t>
  </si>
  <si>
    <t>臨時税収補てん債</t>
  </si>
  <si>
    <t>調整債（昭和60～63年度分）</t>
  </si>
  <si>
    <t>県貸付金</t>
  </si>
  <si>
    <t>その他</t>
  </si>
  <si>
    <t>教育・福祉施設等整備事業債</t>
  </si>
  <si>
    <t>　　うち施設整備事業債(一般財源化分)</t>
  </si>
  <si>
    <t>表 行 列</t>
  </si>
  <si>
    <t>合計</t>
  </si>
  <si>
    <t>○</t>
  </si>
  <si>
    <t>セルのデータを使用</t>
  </si>
  <si>
    <t>平成１８年度残高</t>
  </si>
  <si>
    <t>－</t>
  </si>
  <si>
    <t>３９表の計の欄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</si>
  <si>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</si>
  <si>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</si>
  <si>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</si>
  <si>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</si>
  <si>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</si>
  <si>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</si>
  <si>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</si>
  <si>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</si>
  <si>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</si>
  <si>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</si>
  <si>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</si>
  <si>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</si>
  <si>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</si>
  <si>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</si>
  <si>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073032</t>
  </si>
  <si>
    <t>073083</t>
  </si>
  <si>
    <t>073091</t>
  </si>
  <si>
    <t>073229</t>
  </si>
  <si>
    <t>073423</t>
  </si>
  <si>
    <t>073440</t>
  </si>
  <si>
    <t>073628</t>
  </si>
  <si>
    <t>073644</t>
  </si>
  <si>
    <t>073679</t>
  </si>
  <si>
    <t>073687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</si>
  <si>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</si>
  <si>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</si>
  <si>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</si>
  <si>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</si>
  <si>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</si>
  <si>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</si>
  <si>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</si>
  <si>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</si>
  <si>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</si>
  <si>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</si>
  <si>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074471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</si>
  <si>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</si>
  <si>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</si>
  <si>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</si>
  <si>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</si>
  <si>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</si>
  <si>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</si>
  <si>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</si>
  <si>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</si>
  <si>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</si>
  <si>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</si>
  <si>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</si>
  <si>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</si>
  <si>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</si>
  <si>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</si>
  <si>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</si>
  <si>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</si>
  <si>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</si>
  <si>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</si>
  <si>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</si>
  <si>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</si>
  <si>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</si>
  <si>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</si>
  <si>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</si>
  <si>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</si>
  <si>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075647</t>
  </si>
  <si>
    <t>市計</t>
  </si>
  <si>
    <t>町村計</t>
  </si>
  <si>
    <t>３３－５７－９</t>
  </si>
  <si>
    <t>３７－４１－２</t>
  </si>
  <si>
    <t>３７－４１－６</t>
  </si>
  <si>
    <t>２９－６－４</t>
  </si>
  <si>
    <t>29-6-1</t>
  </si>
  <si>
    <t>29-6-2</t>
  </si>
  <si>
    <t>Ｈ１９</t>
  </si>
  <si>
    <t>平成１９年度　決算収支状況</t>
  </si>
  <si>
    <t>１９年度決算</t>
  </si>
  <si>
    <t>表</t>
  </si>
  <si>
    <t>行</t>
  </si>
  <si>
    <t>列</t>
  </si>
  <si>
    <t>福島市</t>
  </si>
  <si>
    <t>19年度決算額</t>
  </si>
  <si>
    <t>18年度決算額</t>
  </si>
  <si>
    <t>18年度</t>
  </si>
  <si>
    <t>17年度</t>
  </si>
  <si>
    <t>19年度地方財政</t>
  </si>
  <si>
    <t>区  分</t>
  </si>
  <si>
    <t xml:space="preserve">増減率（決算） </t>
  </si>
  <si>
    <t>19年度地財計画増減率</t>
  </si>
  <si>
    <t>個人</t>
  </si>
  <si>
    <t>市町村民税</t>
  </si>
  <si>
    <t>法人</t>
  </si>
  <si>
    <t>純固定資産税</t>
  </si>
  <si>
    <t>固定資産税</t>
  </si>
  <si>
    <t>交納付金</t>
  </si>
  <si>
    <t>交　付　金</t>
  </si>
  <si>
    <t>納　付　金</t>
  </si>
  <si>
    <t>小　計</t>
  </si>
  <si>
    <t xml:space="preserve">増減率（決算） </t>
  </si>
  <si>
    <t>19年度地方財政</t>
  </si>
  <si>
    <t>皆減</t>
  </si>
  <si>
    <t>区　　分</t>
  </si>
  <si>
    <t>６　　農林水産業費</t>
  </si>
  <si>
    <t>皆減</t>
  </si>
  <si>
    <t>平成１９年度残高</t>
  </si>
  <si>
    <t>平成１８年度末現在高</t>
  </si>
  <si>
    <t>平成１９年度末現在高</t>
  </si>
  <si>
    <t>37-2-2</t>
  </si>
  <si>
    <t>37-4-2</t>
  </si>
  <si>
    <t>37-6-2</t>
  </si>
  <si>
    <t>37-8-2</t>
  </si>
  <si>
    <t>37-15-2</t>
  </si>
  <si>
    <r>
      <t>Ｈ1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残高
構成比</t>
    </r>
  </si>
  <si>
    <t>平成１９年度
残高</t>
  </si>
  <si>
    <t>平成１８年度
残高</t>
  </si>
  <si>
    <t>退職手当債（～平成１７年度分）</t>
  </si>
  <si>
    <t>退職手当債（平成１８年度分～）</t>
  </si>
  <si>
    <t>減収補てん債（昭和57・61・平成5～7・9～19年度分）</t>
  </si>
  <si>
    <t>減収補てん債特例分（昭和50・平成14・19年度分）</t>
  </si>
  <si>
    <t>Ｈ１９決算統計串刺しデータより</t>
  </si>
  <si>
    <t>以下のデータは使用しない　←　特に意味（理由）はないが、これまでも以下は除いてきた。</t>
  </si>
  <si>
    <t>１９年度末
地方債現在高  A</t>
  </si>
  <si>
    <t>２０年度以降支出予定の債務負担行為  Ｂ</t>
  </si>
  <si>
    <t>１９年度末
積立金現在高
D</t>
  </si>
  <si>
    <t>１９年度
標準財政規模
G</t>
  </si>
  <si>
    <t>19年度地財計画増減率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</si>
</sst>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▲&quot;#,##0.0_ ;_ * &quot;-&quot;??_ ;_ @_ "/>
    <numFmt numFmtId="177" formatCode="_ * #,##0.0_ ;_ * &quot;△&quot;#,##0.0_ ;_ * &quot;-&quot;??_ ;_ @_ "/>
    <numFmt numFmtId="178" formatCode="_ * #,##0_ ;_ * &quot;▲&quot;#,##0_ ;_ * &quot;-&quot;_ ;_ @_ "/>
    <numFmt numFmtId="179" formatCode="#,##0.0;[Red]\-#,##0.0"/>
    <numFmt numFmtId="180" formatCode="#,##0;[Red]&quot;▲&quot;#,##0"/>
    <numFmt numFmtId="181" formatCode="#,##0.0;[Red]&quot;▲&quot;#,##0.0"/>
    <numFmt numFmtId="182" formatCode="#,##0.0"/>
    <numFmt numFmtId="183" formatCode="_ * #,##0_ ;[Red]_ * &quot;△&quot;#,##0_ ;_ * &quot;-&quot;_ ;_ @_ "/>
    <numFmt numFmtId="184" formatCode="#,##0.0_ ;[Red]\-#,##0.0\ "/>
    <numFmt numFmtId="185" formatCode="#,##0\ ;[Red]&quot;▲&quot;#,##0\ "/>
    <numFmt numFmtId="186" formatCode="#,##0;&quot;▲ &quot;#,##0"/>
    <numFmt numFmtId="187" formatCode="#,##0.0;&quot;▲ &quot;#,##0.0"/>
    <numFmt numFmtId="188" formatCode="\(#,##0.0\);[Red]\(&quot;▲&quot;#,##0.0\)"/>
    <numFmt numFmtId="189" formatCode="#,##0\ \ \ ;[Red]&quot;▲&quot;#,##0\ \ \ "/>
    <numFmt numFmtId="190" formatCode="#,##0.0\ \ \ \ ;&quot;▲&quot;#,##0.0\ \ \ \ "/>
    <numFmt numFmtId="191" formatCode="#,##0;[Red]#,##0"/>
    <numFmt numFmtId="192" formatCode="#,##0_ "/>
    <numFmt numFmtId="193" formatCode="_ * #,##0_ ;[Red]_ * &quot;▲&quot;#,##0_ ;_ * &quot;-&quot;_ ;_ @_ "/>
    <numFmt numFmtId="194" formatCode="#,##0.0;[Red]&quot;▲&quot;#,##0.0\ "/>
    <numFmt numFmtId="195" formatCode="#,##0.0;[Red]&quot;▲&quot;#,##0.0\ \ "/>
    <numFmt numFmtId="196" formatCode="\(#,##0\)"/>
    <numFmt numFmtId="197" formatCode="\(0#,##0\)"/>
    <numFmt numFmtId="198" formatCode="0#,##0"/>
    <numFmt numFmtId="199" formatCode="#,##0\ \ \ ;[Red]&quot;▲&quot;#,##0\ "/>
    <numFmt numFmtId="200" formatCode="#,##0\ \ \ ;[Red]&quot;▲&quot;#,##0"/>
    <numFmt numFmtId="201" formatCode="#,##0.0\ \ \ ;[Red]&quot;▲&quot;#,##0.0"/>
    <numFmt numFmtId="202" formatCode="#,##0.00\ \ \ ;[Red]&quot;▲&quot;#,##0.00"/>
    <numFmt numFmtId="203" formatCode="0.0_);[Red]\(0.0\)"/>
    <numFmt numFmtId="204" formatCode="#,##0;&quot;△ &quot;#,##0"/>
    <numFmt numFmtId="205" formatCode="#,##0.0_ "/>
    <numFmt numFmtId="206" formatCode="0_);[Red]\(0\)"/>
    <numFmt numFmtId="207" formatCode="0.0_ "/>
    <numFmt numFmtId="208" formatCode="#,##0;&quot;▲ &quot;#,##0;&quot;－&quot;"/>
    <numFmt numFmtId="209" formatCode="#,##0.0;&quot;▲ &quot;#,##0.0;&quot;－&quot;"/>
    <numFmt numFmtId="210" formatCode="\(#,##0.0\);\(&quot;▲&quot;#,##0.0\)"/>
    <numFmt numFmtId="211" formatCode="#,##0;&quot;▲ &quot;#,##0;&quot;(－)&quot;"/>
    <numFmt numFmtId="212" formatCode="0.0;&quot;▲ &quot;0.0"/>
    <numFmt numFmtId="213" formatCode="[&lt;=999]000;[&lt;=9999]000\-00;000\-0000"/>
    <numFmt numFmtId="214" formatCode="&quot;33-&quot;0&quot;-1&quot;"/>
    <numFmt numFmtId="215" formatCode="&quot;33-&quot;0&quot;-9&quot;"/>
    <numFmt numFmtId="216" formatCode="0;&quot;▲ &quot;0"/>
    <numFmt numFmtId="217" formatCode="#,##0.0;&quot;黒&quot;\]&quot;▲&quot;#,##0.0"/>
    <numFmt numFmtId="218" formatCode="#,##0_);[Red]\(#,##0\)"/>
  </numFmts>
  <fonts count="2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13"/>
      <name val="ＭＳ Ｐゴシック"/>
      <family val="3"/>
    </font>
    <font>
      <sz val="12"/>
      <color indexed="12"/>
      <name val="ＭＳ Ｐゴシック"/>
      <family val="3"/>
    </font>
    <font>
      <sz val="12"/>
      <color indexed="9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8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 style="double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31">
    <xf numFmtId="0" fontId="0" fillId="0" borderId="0" xfId="0" applyAlignment="1">
      <alignment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/>
      <protection/>
    </xf>
    <xf numFmtId="182" fontId="1" fillId="0" borderId="0" xfId="21" applyNumberFormat="1" applyFont="1" applyBorder="1" applyAlignment="1">
      <alignment vertical="center"/>
      <protection/>
    </xf>
    <xf numFmtId="0" fontId="11" fillId="0" borderId="0" xfId="21" applyNumberFormat="1" applyFont="1" applyAlignment="1">
      <alignment vertical="center"/>
      <protection/>
    </xf>
    <xf numFmtId="0" fontId="11" fillId="0" borderId="0" xfId="21" applyNumberFormat="1" applyFont="1" applyAlignment="1">
      <alignment/>
      <protection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distributed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181" fontId="1" fillId="0" borderId="3" xfId="0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>
      <alignment vertical="center"/>
    </xf>
    <xf numFmtId="194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181" fontId="1" fillId="0" borderId="6" xfId="0" applyNumberFormat="1" applyFont="1" applyFill="1" applyBorder="1" applyAlignment="1">
      <alignment vertical="center"/>
    </xf>
    <xf numFmtId="194" fontId="1" fillId="0" borderId="6" xfId="0" applyNumberFormat="1" applyFont="1" applyFill="1" applyBorder="1" applyAlignment="1">
      <alignment vertical="center"/>
    </xf>
    <xf numFmtId="194" fontId="1" fillId="0" borderId="5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4" fillId="0" borderId="0" xfId="22" applyFont="1" applyFill="1" applyAlignment="1">
      <alignment vertical="center"/>
      <protection/>
    </xf>
    <xf numFmtId="0" fontId="4" fillId="0" borderId="0" xfId="22" applyNumberFormat="1" applyFont="1" applyFill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1" fillId="0" borderId="0" xfId="22" applyNumberFormat="1" applyFont="1" applyFill="1" applyAlignment="1">
      <alignment vertical="center"/>
      <protection/>
    </xf>
    <xf numFmtId="0" fontId="1" fillId="0" borderId="0" xfId="22" applyNumberFormat="1" applyFont="1" applyFill="1" applyAlignment="1">
      <alignment horizontal="right" vertical="center"/>
      <protection/>
    </xf>
    <xf numFmtId="0" fontId="1" fillId="0" borderId="8" xfId="22" applyNumberFormat="1" applyFont="1" applyFill="1" applyBorder="1" applyAlignment="1">
      <alignment horizontal="distributed" vertical="center" wrapText="1"/>
      <protection/>
    </xf>
    <xf numFmtId="0" fontId="1" fillId="0" borderId="9" xfId="22" applyNumberFormat="1" applyFont="1" applyFill="1" applyBorder="1" applyAlignment="1">
      <alignment horizontal="distributed" vertical="center" wrapText="1"/>
      <protection/>
    </xf>
    <xf numFmtId="0" fontId="1" fillId="0" borderId="9" xfId="22" applyNumberFormat="1" applyFont="1" applyFill="1" applyBorder="1" applyAlignment="1">
      <alignment horizontal="center" vertical="center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10" xfId="22" applyNumberFormat="1" applyFont="1" applyFill="1" applyBorder="1" applyAlignment="1">
      <alignment horizontal="distributed" vertical="center" wrapText="1"/>
      <protection/>
    </xf>
    <xf numFmtId="0" fontId="1" fillId="0" borderId="11" xfId="22" applyNumberFormat="1" applyFont="1" applyFill="1" applyBorder="1" applyAlignment="1">
      <alignment vertical="center"/>
      <protection/>
    </xf>
    <xf numFmtId="0" fontId="1" fillId="0" borderId="12" xfId="22" applyNumberFormat="1" applyFont="1" applyFill="1" applyBorder="1" applyAlignment="1">
      <alignment vertical="center"/>
      <protection/>
    </xf>
    <xf numFmtId="204" fontId="1" fillId="0" borderId="0" xfId="22" applyNumberFormat="1" applyFont="1" applyFill="1" applyBorder="1" applyAlignment="1">
      <alignment vertical="center"/>
      <protection/>
    </xf>
    <xf numFmtId="0" fontId="1" fillId="0" borderId="13" xfId="22" applyNumberFormat="1" applyFont="1" applyFill="1" applyBorder="1" applyAlignment="1">
      <alignment vertical="center"/>
      <protection/>
    </xf>
    <xf numFmtId="0" fontId="1" fillId="0" borderId="14" xfId="22" applyNumberFormat="1" applyFont="1" applyFill="1" applyBorder="1" applyAlignment="1">
      <alignment vertical="center"/>
      <protection/>
    </xf>
    <xf numFmtId="0" fontId="12" fillId="0" borderId="12" xfId="22" applyFont="1" applyFill="1" applyBorder="1" applyAlignment="1">
      <alignment horizontal="left" vertical="center" textRotation="180"/>
      <protection/>
    </xf>
    <xf numFmtId="181" fontId="10" fillId="0" borderId="0" xfId="22" applyNumberFormat="1" applyFont="1" applyFill="1" applyBorder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1" fillId="0" borderId="15" xfId="22" applyNumberFormat="1" applyFont="1" applyFill="1" applyBorder="1" applyAlignment="1">
      <alignment horizontal="center" vertical="center"/>
      <protection/>
    </xf>
    <xf numFmtId="0" fontId="1" fillId="0" borderId="16" xfId="22" applyNumberFormat="1" applyFont="1" applyFill="1" applyBorder="1" applyAlignment="1">
      <alignment horizontal="center" vertical="center"/>
      <protection/>
    </xf>
    <xf numFmtId="0" fontId="1" fillId="0" borderId="17" xfId="22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Alignment="1">
      <alignment vertical="center" shrinkToFit="1"/>
    </xf>
    <xf numFmtId="0" fontId="1" fillId="0" borderId="18" xfId="22" applyNumberFormat="1" applyFont="1" applyFill="1" applyBorder="1" applyAlignment="1">
      <alignment horizontal="center" vertical="center" textRotation="255"/>
      <protection/>
    </xf>
    <xf numFmtId="0" fontId="1" fillId="0" borderId="19" xfId="22" applyNumberFormat="1" applyFont="1" applyFill="1" applyBorder="1" applyAlignment="1">
      <alignment horizontal="center" vertical="center" textRotation="255"/>
      <protection/>
    </xf>
    <xf numFmtId="0" fontId="1" fillId="0" borderId="7" xfId="22" applyNumberFormat="1" applyFont="1" applyFill="1" applyBorder="1" applyAlignment="1">
      <alignment horizontal="distributed" vertical="center" wrapText="1"/>
      <protection/>
    </xf>
    <xf numFmtId="187" fontId="1" fillId="0" borderId="2" xfId="0" applyNumberFormat="1" applyFont="1" applyFill="1" applyBorder="1" applyAlignment="1">
      <alignment vertical="center"/>
    </xf>
    <xf numFmtId="187" fontId="1" fillId="0" borderId="3" xfId="0" applyNumberFormat="1" applyFont="1" applyFill="1" applyBorder="1" applyAlignment="1">
      <alignment vertical="center"/>
    </xf>
    <xf numFmtId="187" fontId="1" fillId="0" borderId="5" xfId="0" applyNumberFormat="1" applyFont="1" applyFill="1" applyBorder="1" applyAlignment="1">
      <alignment vertical="center"/>
    </xf>
    <xf numFmtId="187" fontId="1" fillId="0" borderId="6" xfId="0" applyNumberFormat="1" applyFont="1" applyFill="1" applyBorder="1" applyAlignment="1">
      <alignment vertical="center"/>
    </xf>
    <xf numFmtId="0" fontId="1" fillId="0" borderId="0" xfId="22" applyFont="1" applyFill="1" applyAlignment="1">
      <alignment horizontal="right" vertical="center"/>
      <protection/>
    </xf>
    <xf numFmtId="208" fontId="1" fillId="0" borderId="20" xfId="22" applyNumberFormat="1" applyFont="1" applyFill="1" applyBorder="1" applyAlignment="1">
      <alignment horizontal="right" vertical="center"/>
      <protection/>
    </xf>
    <xf numFmtId="208" fontId="1" fillId="0" borderId="21" xfId="22" applyNumberFormat="1" applyFont="1" applyFill="1" applyBorder="1" applyAlignment="1">
      <alignment horizontal="right" vertical="center"/>
      <protection/>
    </xf>
    <xf numFmtId="208" fontId="1" fillId="0" borderId="22" xfId="22" applyNumberFormat="1" applyFont="1" applyFill="1" applyBorder="1" applyAlignment="1">
      <alignment horizontal="right" vertical="center"/>
      <protection/>
    </xf>
    <xf numFmtId="208" fontId="1" fillId="0" borderId="23" xfId="22" applyNumberFormat="1" applyFont="1" applyFill="1" applyBorder="1" applyAlignment="1">
      <alignment horizontal="right" vertical="center"/>
      <protection/>
    </xf>
    <xf numFmtId="208" fontId="1" fillId="0" borderId="24" xfId="22" applyNumberFormat="1" applyFont="1" applyFill="1" applyBorder="1" applyAlignment="1">
      <alignment horizontal="right" vertical="center"/>
      <protection/>
    </xf>
    <xf numFmtId="208" fontId="1" fillId="0" borderId="25" xfId="22" applyNumberFormat="1" applyFont="1" applyFill="1" applyBorder="1" applyAlignment="1">
      <alignment horizontal="right" vertical="center"/>
      <protection/>
    </xf>
    <xf numFmtId="208" fontId="1" fillId="0" borderId="26" xfId="22" applyNumberFormat="1" applyFont="1" applyFill="1" applyBorder="1" applyAlignment="1">
      <alignment horizontal="right" vertical="center"/>
      <protection/>
    </xf>
    <xf numFmtId="208" fontId="1" fillId="0" borderId="27" xfId="22" applyNumberFormat="1" applyFont="1" applyFill="1" applyBorder="1" applyAlignment="1">
      <alignment horizontal="right" vertical="center"/>
      <protection/>
    </xf>
    <xf numFmtId="209" fontId="1" fillId="0" borderId="22" xfId="22" applyNumberFormat="1" applyFont="1" applyFill="1" applyBorder="1" applyAlignment="1">
      <alignment vertical="center"/>
      <protection/>
    </xf>
    <xf numFmtId="209" fontId="1" fillId="0" borderId="28" xfId="22" applyNumberFormat="1" applyFont="1" applyFill="1" applyBorder="1" applyAlignment="1">
      <alignment vertical="center"/>
      <protection/>
    </xf>
    <xf numFmtId="209" fontId="1" fillId="0" borderId="25" xfId="22" applyNumberFormat="1" applyFont="1" applyFill="1" applyBorder="1" applyAlignment="1">
      <alignment vertical="center"/>
      <protection/>
    </xf>
    <xf numFmtId="209" fontId="1" fillId="0" borderId="29" xfId="22" applyNumberFormat="1" applyFont="1" applyFill="1" applyBorder="1" applyAlignment="1">
      <alignment vertical="center"/>
      <protection/>
    </xf>
    <xf numFmtId="209" fontId="1" fillId="0" borderId="25" xfId="22" applyNumberFormat="1" applyFont="1" applyFill="1" applyBorder="1" applyAlignment="1">
      <alignment horizontal="right" vertical="center"/>
      <protection/>
    </xf>
    <xf numFmtId="209" fontId="1" fillId="0" borderId="9" xfId="22" applyNumberFormat="1" applyFont="1" applyFill="1" applyBorder="1" applyAlignment="1">
      <alignment vertical="center"/>
      <protection/>
    </xf>
    <xf numFmtId="209" fontId="1" fillId="0" borderId="10" xfId="22" applyNumberFormat="1" applyFont="1" applyFill="1" applyBorder="1" applyAlignment="1">
      <alignment vertical="center"/>
      <protection/>
    </xf>
    <xf numFmtId="0" fontId="1" fillId="0" borderId="0" xfId="22" applyNumberFormat="1" applyFont="1" applyFill="1" applyBorder="1" applyAlignment="1">
      <alignment vertical="center"/>
      <protection/>
    </xf>
    <xf numFmtId="0" fontId="1" fillId="0" borderId="7" xfId="22" applyNumberFormat="1" applyFont="1" applyFill="1" applyBorder="1" applyAlignment="1">
      <alignment horizontal="center" vertical="center" textRotation="255"/>
      <protection/>
    </xf>
    <xf numFmtId="0" fontId="1" fillId="0" borderId="7" xfId="22" applyFont="1" applyFill="1" applyBorder="1" applyAlignment="1">
      <alignment vertical="center"/>
      <protection/>
    </xf>
    <xf numFmtId="0" fontId="1" fillId="0" borderId="0" xfId="22" applyNumberFormat="1" applyFont="1" applyFill="1" applyBorder="1" applyAlignment="1">
      <alignment horizontal="center" vertical="center" textRotation="255"/>
      <protection/>
    </xf>
    <xf numFmtId="188" fontId="1" fillId="0" borderId="0" xfId="22" applyNumberFormat="1" applyFont="1" applyFill="1" applyBorder="1" applyAlignment="1">
      <alignment vertical="center" shrinkToFit="1"/>
      <protection/>
    </xf>
    <xf numFmtId="208" fontId="1" fillId="0" borderId="0" xfId="22" applyNumberFormat="1" applyFont="1" applyFill="1" applyBorder="1" applyAlignment="1">
      <alignment vertical="center"/>
      <protection/>
    </xf>
    <xf numFmtId="208" fontId="1" fillId="0" borderId="22" xfId="22" applyNumberFormat="1" applyFont="1" applyFill="1" applyBorder="1" applyAlignment="1">
      <alignment vertical="center"/>
      <protection/>
    </xf>
    <xf numFmtId="208" fontId="1" fillId="0" borderId="30" xfId="22" applyNumberFormat="1" applyFont="1" applyFill="1" applyBorder="1" applyAlignment="1">
      <alignment vertical="center"/>
      <protection/>
    </xf>
    <xf numFmtId="208" fontId="1" fillId="0" borderId="25" xfId="22" applyNumberFormat="1" applyFont="1" applyFill="1" applyBorder="1" applyAlignment="1">
      <alignment vertical="center"/>
      <protection/>
    </xf>
    <xf numFmtId="208" fontId="1" fillId="0" borderId="31" xfId="22" applyNumberFormat="1" applyFont="1" applyFill="1" applyBorder="1" applyAlignment="1">
      <alignment vertical="center"/>
      <protection/>
    </xf>
    <xf numFmtId="208" fontId="1" fillId="0" borderId="32" xfId="22" applyNumberFormat="1" applyFont="1" applyFill="1" applyBorder="1" applyAlignment="1">
      <alignment vertical="center"/>
      <protection/>
    </xf>
    <xf numFmtId="208" fontId="1" fillId="0" borderId="28" xfId="22" applyNumberFormat="1" applyFont="1" applyFill="1" applyBorder="1" applyAlignment="1">
      <alignment vertical="center" shrinkToFit="1"/>
      <protection/>
    </xf>
    <xf numFmtId="210" fontId="1" fillId="0" borderId="28" xfId="22" applyNumberFormat="1" applyFont="1" applyFill="1" applyBorder="1" applyAlignment="1">
      <alignment vertical="center" shrinkToFit="1"/>
      <protection/>
    </xf>
    <xf numFmtId="210" fontId="1" fillId="0" borderId="29" xfId="22" applyNumberFormat="1" applyFont="1" applyFill="1" applyBorder="1" applyAlignment="1">
      <alignment vertical="center" shrinkToFit="1"/>
      <protection/>
    </xf>
    <xf numFmtId="208" fontId="1" fillId="0" borderId="6" xfId="22" applyNumberFormat="1" applyFont="1" applyFill="1" applyBorder="1" applyAlignment="1">
      <alignment horizontal="right" vertical="center"/>
      <protection/>
    </xf>
    <xf numFmtId="49" fontId="1" fillId="0" borderId="0" xfId="0" applyNumberFormat="1" applyFont="1" applyFill="1" applyAlignment="1">
      <alignment horizontal="center" vertical="center" textRotation="180"/>
    </xf>
    <xf numFmtId="49" fontId="1" fillId="0" borderId="0" xfId="0" applyNumberFormat="1" applyFont="1" applyFill="1" applyAlignment="1">
      <alignment horizontal="center" vertical="center" textRotation="180" shrinkToFit="1"/>
    </xf>
    <xf numFmtId="49" fontId="1" fillId="0" borderId="12" xfId="0" applyNumberFormat="1" applyFont="1" applyFill="1" applyBorder="1" applyAlignment="1">
      <alignment horizontal="center" vertical="center" textRotation="180" shrinkToFit="1"/>
    </xf>
    <xf numFmtId="49" fontId="1" fillId="0" borderId="12" xfId="0" applyNumberFormat="1" applyFont="1" applyFill="1" applyBorder="1" applyAlignment="1">
      <alignment horizontal="center" vertical="center" textRotation="180"/>
    </xf>
    <xf numFmtId="0" fontId="1" fillId="0" borderId="0" xfId="0" applyNumberFormat="1" applyFont="1" applyFill="1" applyAlignment="1">
      <alignment vertical="center" wrapText="1"/>
    </xf>
    <xf numFmtId="0" fontId="1" fillId="0" borderId="0" xfId="21" applyFont="1" applyAlignment="1">
      <alignment horizontal="right" vertical="center"/>
      <protection/>
    </xf>
    <xf numFmtId="0" fontId="1" fillId="0" borderId="0" xfId="21" applyFont="1" applyBorder="1" applyAlignment="1">
      <alignment vertical="center"/>
      <protection/>
    </xf>
    <xf numFmtId="181" fontId="1" fillId="0" borderId="0" xfId="21" applyNumberFormat="1" applyFont="1" applyAlignment="1">
      <alignment horizontal="left" vertical="center"/>
      <protection/>
    </xf>
    <xf numFmtId="181" fontId="1" fillId="0" borderId="0" xfId="21" applyNumberFormat="1" applyFont="1" applyAlignment="1">
      <alignment vertical="center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Border="1">
      <alignment/>
      <protection/>
    </xf>
    <xf numFmtId="182" fontId="1" fillId="0" borderId="0" xfId="21" applyNumberFormat="1" applyFont="1" applyBorder="1">
      <alignment/>
      <protection/>
    </xf>
    <xf numFmtId="0" fontId="1" fillId="0" borderId="0" xfId="21" applyNumberFormat="1" applyFont="1" applyAlignment="1">
      <alignment horizontal="center" vertical="center"/>
      <protection/>
    </xf>
    <xf numFmtId="3" fontId="1" fillId="0" borderId="0" xfId="21" applyNumberFormat="1" applyFont="1">
      <alignment/>
      <protection/>
    </xf>
    <xf numFmtId="0" fontId="0" fillId="0" borderId="10" xfId="22" applyNumberFormat="1" applyFont="1" applyFill="1" applyBorder="1" applyAlignment="1">
      <alignment horizontal="distributed" vertical="center" wrapText="1"/>
      <protection/>
    </xf>
    <xf numFmtId="3" fontId="1" fillId="0" borderId="0" xfId="22" applyNumberFormat="1" applyFont="1" applyFill="1" applyAlignment="1">
      <alignment vertical="center"/>
      <protection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distributed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distributed" vertical="center" shrinkToFit="1"/>
      <protection locked="0"/>
    </xf>
    <xf numFmtId="0" fontId="12" fillId="0" borderId="36" xfId="0" applyFont="1" applyFill="1" applyBorder="1" applyAlignment="1" applyProtection="1">
      <alignment vertical="center" shrinkToFit="1"/>
      <protection locked="0"/>
    </xf>
    <xf numFmtId="186" fontId="12" fillId="0" borderId="41" xfId="0" applyNumberFormat="1" applyFont="1" applyBorder="1" applyAlignment="1" applyProtection="1">
      <alignment vertical="center" shrinkToFit="1"/>
      <protection locked="0"/>
    </xf>
    <xf numFmtId="0" fontId="12" fillId="0" borderId="42" xfId="0" applyFont="1" applyFill="1" applyBorder="1" applyAlignment="1" applyProtection="1">
      <alignment vertical="center" shrinkToFit="1"/>
      <protection locked="0"/>
    </xf>
    <xf numFmtId="186" fontId="12" fillId="0" borderId="43" xfId="0" applyNumberFormat="1" applyFont="1" applyBorder="1" applyAlignment="1" applyProtection="1">
      <alignment vertical="center" shrinkToFit="1"/>
      <protection locked="0"/>
    </xf>
    <xf numFmtId="0" fontId="12" fillId="0" borderId="44" xfId="0" applyFont="1" applyFill="1" applyBorder="1" applyAlignment="1" applyProtection="1">
      <alignment vertical="center" shrinkToFit="1"/>
      <protection locked="0"/>
    </xf>
    <xf numFmtId="212" fontId="12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42" xfId="0" applyFont="1" applyFill="1" applyBorder="1" applyAlignment="1" applyProtection="1">
      <alignment vertical="center" shrinkToFit="1"/>
      <protection locked="0"/>
    </xf>
    <xf numFmtId="0" fontId="12" fillId="0" borderId="44" xfId="0" applyFont="1" applyFill="1" applyBorder="1" applyAlignment="1" applyProtection="1">
      <alignment vertical="center" shrinkToFit="1"/>
      <protection locked="0"/>
    </xf>
    <xf numFmtId="186" fontId="12" fillId="0" borderId="46" xfId="0" applyNumberFormat="1" applyFont="1" applyBorder="1" applyAlignment="1" applyProtection="1">
      <alignment vertical="center" shrinkToFit="1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186" fontId="12" fillId="0" borderId="48" xfId="0" applyNumberFormat="1" applyFont="1" applyBorder="1" applyAlignment="1" applyProtection="1">
      <alignment vertical="center" shrinkToFit="1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 locked="0"/>
    </xf>
    <xf numFmtId="205" fontId="12" fillId="0" borderId="51" xfId="0" applyNumberFormat="1" applyFont="1" applyBorder="1" applyAlignment="1" applyProtection="1">
      <alignment vertical="center"/>
      <protection locked="0"/>
    </xf>
    <xf numFmtId="186" fontId="12" fillId="0" borderId="51" xfId="0" applyNumberFormat="1" applyFont="1" applyBorder="1" applyAlignment="1" applyProtection="1">
      <alignment vertical="center" shrinkToFit="1"/>
      <protection locked="0"/>
    </xf>
    <xf numFmtId="187" fontId="12" fillId="0" borderId="51" xfId="0" applyNumberFormat="1" applyFont="1" applyBorder="1" applyAlignment="1" applyProtection="1">
      <alignment vertical="center" shrinkToFit="1"/>
      <protection locked="0"/>
    </xf>
    <xf numFmtId="187" fontId="12" fillId="0" borderId="51" xfId="0" applyNumberFormat="1" applyFont="1" applyBorder="1" applyAlignment="1" applyProtection="1">
      <alignment vertical="center"/>
      <protection locked="0"/>
    </xf>
    <xf numFmtId="212" fontId="12" fillId="0" borderId="51" xfId="0" applyNumberFormat="1" applyFont="1" applyFill="1" applyBorder="1" applyAlignment="1" applyProtection="1">
      <alignment vertical="center" shrinkToFit="1"/>
      <protection locked="0"/>
    </xf>
    <xf numFmtId="205" fontId="12" fillId="0" borderId="51" xfId="0" applyNumberFormat="1" applyFont="1" applyFill="1" applyBorder="1" applyAlignment="1" applyProtection="1">
      <alignment vertical="center"/>
      <protection locked="0"/>
    </xf>
    <xf numFmtId="205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7" fillId="0" borderId="0" xfId="0" applyNumberFormat="1" applyFont="1" applyBorder="1" applyAlignment="1">
      <alignment vertical="center"/>
    </xf>
    <xf numFmtId="0" fontId="19" fillId="0" borderId="5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textRotation="180"/>
    </xf>
    <xf numFmtId="0" fontId="19" fillId="0" borderId="3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5" xfId="0" applyFont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182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182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2" fillId="0" borderId="33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205" fontId="0" fillId="0" borderId="36" xfId="0" applyNumberFormat="1" applyFont="1" applyFill="1" applyBorder="1" applyAlignment="1" applyProtection="1">
      <alignment horizontal="distributed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39" xfId="0" applyFont="1" applyFill="1" applyBorder="1" applyAlignment="1" applyProtection="1">
      <alignment horizontal="center" vertical="center" shrinkToFit="1"/>
      <protection locked="0"/>
    </xf>
    <xf numFmtId="205" fontId="0" fillId="0" borderId="40" xfId="0" applyNumberFormat="1" applyFont="1" applyFill="1" applyBorder="1" applyAlignment="1" applyProtection="1">
      <alignment horizontal="distributed" vertical="center" shrinkToFit="1"/>
      <protection locked="0"/>
    </xf>
    <xf numFmtId="0" fontId="12" fillId="0" borderId="36" xfId="0" applyFont="1" applyFill="1" applyBorder="1" applyAlignment="1" applyProtection="1">
      <alignment vertical="center"/>
      <protection locked="0"/>
    </xf>
    <xf numFmtId="0" fontId="12" fillId="0" borderId="42" xfId="0" applyFont="1" applyFill="1" applyBorder="1" applyAlignment="1" applyProtection="1">
      <alignment vertical="center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 shrinkToFit="1"/>
      <protection locked="0"/>
    </xf>
    <xf numFmtId="205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Fill="1" applyBorder="1" applyAlignment="1" applyProtection="1">
      <alignment vertical="center"/>
      <protection locked="0"/>
    </xf>
    <xf numFmtId="0" fontId="12" fillId="0" borderId="42" xfId="0" applyFont="1" applyFill="1" applyBorder="1" applyAlignment="1" applyProtection="1">
      <alignment vertical="center"/>
      <protection locked="0"/>
    </xf>
    <xf numFmtId="192" fontId="1" fillId="0" borderId="56" xfId="0" applyNumberFormat="1" applyFont="1" applyBorder="1" applyAlignment="1" applyProtection="1">
      <alignment vertical="center"/>
      <protection locked="0"/>
    </xf>
    <xf numFmtId="205" fontId="1" fillId="0" borderId="41" xfId="0" applyNumberFormat="1" applyFont="1" applyBorder="1" applyAlignment="1" applyProtection="1">
      <alignment vertical="center"/>
      <protection locked="0"/>
    </xf>
    <xf numFmtId="192" fontId="1" fillId="0" borderId="41" xfId="0" applyNumberFormat="1" applyFont="1" applyBorder="1" applyAlignment="1" applyProtection="1">
      <alignment vertical="center"/>
      <protection locked="0"/>
    </xf>
    <xf numFmtId="186" fontId="1" fillId="0" borderId="41" xfId="0" applyNumberFormat="1" applyFont="1" applyBorder="1" applyAlignment="1" applyProtection="1">
      <alignment vertical="center" shrinkToFit="1"/>
      <protection locked="0"/>
    </xf>
    <xf numFmtId="187" fontId="1" fillId="0" borderId="57" xfId="0" applyNumberFormat="1" applyFont="1" applyBorder="1" applyAlignment="1" applyProtection="1">
      <alignment vertical="center" shrinkToFit="1"/>
      <protection locked="0"/>
    </xf>
    <xf numFmtId="187" fontId="1" fillId="0" borderId="57" xfId="0" applyNumberFormat="1" applyFont="1" applyBorder="1" applyAlignment="1" applyProtection="1">
      <alignment vertical="center"/>
      <protection locked="0"/>
    </xf>
    <xf numFmtId="192" fontId="1" fillId="0" borderId="58" xfId="0" applyNumberFormat="1" applyFont="1" applyBorder="1" applyAlignment="1" applyProtection="1">
      <alignment vertical="center"/>
      <protection locked="0"/>
    </xf>
    <xf numFmtId="186" fontId="1" fillId="0" borderId="41" xfId="0" applyNumberFormat="1" applyFont="1" applyBorder="1" applyAlignment="1" applyProtection="1">
      <alignment vertical="center"/>
      <protection locked="0"/>
    </xf>
    <xf numFmtId="187" fontId="1" fillId="0" borderId="56" xfId="0" applyNumberFormat="1" applyFont="1" applyFill="1" applyBorder="1" applyAlignment="1" applyProtection="1">
      <alignment vertical="center" shrinkToFit="1"/>
      <protection locked="0"/>
    </xf>
    <xf numFmtId="187" fontId="1" fillId="0" borderId="57" xfId="0" applyNumberFormat="1" applyFont="1" applyFill="1" applyBorder="1" applyAlignment="1" applyProtection="1">
      <alignment vertical="center" shrinkToFit="1"/>
      <protection locked="0"/>
    </xf>
    <xf numFmtId="192" fontId="1" fillId="0" borderId="45" xfId="0" applyNumberFormat="1" applyFont="1" applyBorder="1" applyAlignment="1" applyProtection="1">
      <alignment vertical="center"/>
      <protection locked="0"/>
    </xf>
    <xf numFmtId="205" fontId="1" fillId="0" borderId="43" xfId="0" applyNumberFormat="1" applyFont="1" applyBorder="1" applyAlignment="1" applyProtection="1">
      <alignment vertical="center"/>
      <protection locked="0"/>
    </xf>
    <xf numFmtId="192" fontId="1" fillId="0" borderId="43" xfId="0" applyNumberFormat="1" applyFont="1" applyBorder="1" applyAlignment="1" applyProtection="1">
      <alignment vertical="center"/>
      <protection locked="0"/>
    </xf>
    <xf numFmtId="186" fontId="1" fillId="0" borderId="43" xfId="0" applyNumberFormat="1" applyFont="1" applyBorder="1" applyAlignment="1" applyProtection="1">
      <alignment vertical="center" shrinkToFit="1"/>
      <protection locked="0"/>
    </xf>
    <xf numFmtId="187" fontId="1" fillId="0" borderId="59" xfId="0" applyNumberFormat="1" applyFont="1" applyBorder="1" applyAlignment="1" applyProtection="1">
      <alignment vertical="center" shrinkToFit="1"/>
      <protection locked="0"/>
    </xf>
    <xf numFmtId="187" fontId="1" fillId="0" borderId="59" xfId="0" applyNumberFormat="1" applyFont="1" applyBorder="1" applyAlignment="1" applyProtection="1">
      <alignment vertical="center"/>
      <protection locked="0"/>
    </xf>
    <xf numFmtId="186" fontId="1" fillId="0" borderId="43" xfId="0" applyNumberFormat="1" applyFont="1" applyBorder="1" applyAlignment="1" applyProtection="1">
      <alignment vertical="center"/>
      <protection locked="0"/>
    </xf>
    <xf numFmtId="187" fontId="1" fillId="0" borderId="45" xfId="0" applyNumberFormat="1" applyFont="1" applyFill="1" applyBorder="1" applyAlignment="1" applyProtection="1">
      <alignment vertical="center" shrinkToFit="1"/>
      <protection locked="0"/>
    </xf>
    <xf numFmtId="187" fontId="1" fillId="0" borderId="59" xfId="0" applyNumberFormat="1" applyFont="1" applyFill="1" applyBorder="1" applyAlignment="1" applyProtection="1">
      <alignment vertical="center" shrinkToFit="1"/>
      <protection locked="0"/>
    </xf>
    <xf numFmtId="187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187" fontId="1" fillId="0" borderId="59" xfId="0" applyNumberFormat="1" applyFont="1" applyFill="1" applyBorder="1" applyAlignment="1" applyProtection="1">
      <alignment horizontal="right" vertical="center" shrinkToFit="1"/>
      <protection locked="0"/>
    </xf>
    <xf numFmtId="192" fontId="1" fillId="0" borderId="60" xfId="0" applyNumberFormat="1" applyFont="1" applyBorder="1" applyAlignment="1" applyProtection="1">
      <alignment vertical="center"/>
      <protection locked="0"/>
    </xf>
    <xf numFmtId="205" fontId="1" fillId="0" borderId="46" xfId="0" applyNumberFormat="1" applyFont="1" applyBorder="1" applyAlignment="1" applyProtection="1">
      <alignment vertical="center"/>
      <protection locked="0"/>
    </xf>
    <xf numFmtId="192" fontId="1" fillId="0" borderId="46" xfId="0" applyNumberFormat="1" applyFont="1" applyBorder="1" applyAlignment="1" applyProtection="1">
      <alignment vertical="center"/>
      <protection locked="0"/>
    </xf>
    <xf numFmtId="186" fontId="1" fillId="0" borderId="46" xfId="0" applyNumberFormat="1" applyFont="1" applyBorder="1" applyAlignment="1" applyProtection="1">
      <alignment vertical="center" shrinkToFit="1"/>
      <protection locked="0"/>
    </xf>
    <xf numFmtId="187" fontId="1" fillId="0" borderId="61" xfId="0" applyNumberFormat="1" applyFont="1" applyBorder="1" applyAlignment="1" applyProtection="1">
      <alignment vertical="center" shrinkToFit="1"/>
      <protection locked="0"/>
    </xf>
    <xf numFmtId="186" fontId="1" fillId="0" borderId="46" xfId="0" applyNumberFormat="1" applyFont="1" applyBorder="1" applyAlignment="1" applyProtection="1">
      <alignment vertical="center"/>
      <protection locked="0"/>
    </xf>
    <xf numFmtId="187" fontId="1" fillId="0" borderId="61" xfId="0" applyNumberFormat="1" applyFont="1" applyBorder="1" applyAlignment="1" applyProtection="1">
      <alignment horizontal="right" vertical="center" shrinkToFit="1"/>
      <protection locked="0"/>
    </xf>
    <xf numFmtId="187" fontId="1" fillId="0" borderId="60" xfId="0" applyNumberFormat="1" applyFont="1" applyFill="1" applyBorder="1" applyAlignment="1" applyProtection="1">
      <alignment horizontal="right" vertical="center" shrinkToFit="1"/>
      <protection locked="0"/>
    </xf>
    <xf numFmtId="187" fontId="1" fillId="0" borderId="61" xfId="0" applyNumberFormat="1" applyFont="1" applyFill="1" applyBorder="1" applyAlignment="1" applyProtection="1">
      <alignment horizontal="right" vertical="center" shrinkToFit="1"/>
      <protection locked="0"/>
    </xf>
    <xf numFmtId="192" fontId="1" fillId="0" borderId="62" xfId="0" applyNumberFormat="1" applyFont="1" applyBorder="1" applyAlignment="1" applyProtection="1">
      <alignment vertical="center"/>
      <protection locked="0"/>
    </xf>
    <xf numFmtId="205" fontId="1" fillId="0" borderId="48" xfId="0" applyNumberFormat="1" applyFont="1" applyBorder="1" applyAlignment="1" applyProtection="1">
      <alignment vertical="center"/>
      <protection locked="0"/>
    </xf>
    <xf numFmtId="192" fontId="1" fillId="0" borderId="48" xfId="0" applyNumberFormat="1" applyFont="1" applyBorder="1" applyAlignment="1" applyProtection="1">
      <alignment vertical="center"/>
      <protection locked="0"/>
    </xf>
    <xf numFmtId="186" fontId="1" fillId="0" borderId="48" xfId="0" applyNumberFormat="1" applyFont="1" applyBorder="1" applyAlignment="1" applyProtection="1">
      <alignment vertical="center" shrinkToFit="1"/>
      <protection locked="0"/>
    </xf>
    <xf numFmtId="187" fontId="1" fillId="0" borderId="63" xfId="0" applyNumberFormat="1" applyFont="1" applyBorder="1" applyAlignment="1" applyProtection="1">
      <alignment vertical="center" shrinkToFit="1"/>
      <protection locked="0"/>
    </xf>
    <xf numFmtId="187" fontId="1" fillId="0" borderId="63" xfId="0" applyNumberFormat="1" applyFont="1" applyBorder="1" applyAlignment="1" applyProtection="1">
      <alignment vertical="center"/>
      <protection locked="0"/>
    </xf>
    <xf numFmtId="186" fontId="1" fillId="0" borderId="48" xfId="0" applyNumberFormat="1" applyFont="1" applyBorder="1" applyAlignment="1" applyProtection="1">
      <alignment vertical="center"/>
      <protection locked="0"/>
    </xf>
    <xf numFmtId="187" fontId="1" fillId="0" borderId="62" xfId="0" applyNumberFormat="1" applyFont="1" applyFill="1" applyBorder="1" applyAlignment="1" applyProtection="1">
      <alignment vertical="center" shrinkToFit="1"/>
      <protection locked="0"/>
    </xf>
    <xf numFmtId="187" fontId="1" fillId="0" borderId="63" xfId="0" applyNumberFormat="1" applyFont="1" applyFill="1" applyBorder="1" applyAlignment="1" applyProtection="1">
      <alignment vertical="center" shrinkToFit="1"/>
      <protection locked="0"/>
    </xf>
    <xf numFmtId="0" fontId="1" fillId="0" borderId="0" xfId="20" applyFont="1">
      <alignment/>
      <protection/>
    </xf>
    <xf numFmtId="20" fontId="1" fillId="0" borderId="0" xfId="20" applyNumberFormat="1" applyFont="1">
      <alignment/>
      <protection/>
    </xf>
    <xf numFmtId="0" fontId="1" fillId="0" borderId="64" xfId="20" applyFont="1" applyBorder="1" applyAlignment="1">
      <alignment horizontal="center" vertical="center" wrapText="1"/>
      <protection/>
    </xf>
    <xf numFmtId="0" fontId="1" fillId="0" borderId="65" xfId="20" applyFont="1" applyBorder="1" applyAlignment="1">
      <alignment horizontal="center" vertical="center" wrapText="1"/>
      <protection/>
    </xf>
    <xf numFmtId="0" fontId="1" fillId="0" borderId="66" xfId="20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center" vertical="center" wrapText="1"/>
      <protection/>
    </xf>
    <xf numFmtId="0" fontId="1" fillId="0" borderId="67" xfId="20" applyFont="1" applyBorder="1" applyAlignment="1" quotePrefix="1">
      <alignment horizontal="center" vertical="center"/>
      <protection/>
    </xf>
    <xf numFmtId="0" fontId="1" fillId="0" borderId="68" xfId="20" applyFont="1" applyBorder="1" applyAlignment="1" quotePrefix="1">
      <alignment horizontal="center" vertical="center"/>
      <protection/>
    </xf>
    <xf numFmtId="0" fontId="1" fillId="0" borderId="69" xfId="20" applyFont="1" applyBorder="1" applyAlignment="1" quotePrefix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1" fillId="0" borderId="70" xfId="20" applyFont="1" applyBorder="1">
      <alignment/>
      <protection/>
    </xf>
    <xf numFmtId="186" fontId="1" fillId="0" borderId="71" xfId="20" applyNumberFormat="1" applyFont="1" applyBorder="1">
      <alignment/>
      <protection/>
    </xf>
    <xf numFmtId="186" fontId="1" fillId="0" borderId="72" xfId="20" applyNumberFormat="1" applyFont="1" applyBorder="1">
      <alignment/>
      <protection/>
    </xf>
    <xf numFmtId="186" fontId="1" fillId="0" borderId="73" xfId="20" applyNumberFormat="1" applyFont="1" applyBorder="1">
      <alignment/>
      <protection/>
    </xf>
    <xf numFmtId="0" fontId="1" fillId="0" borderId="74" xfId="20" applyFont="1" applyBorder="1">
      <alignment/>
      <protection/>
    </xf>
    <xf numFmtId="186" fontId="1" fillId="0" borderId="75" xfId="20" applyNumberFormat="1" applyFont="1" applyBorder="1">
      <alignment/>
      <protection/>
    </xf>
    <xf numFmtId="186" fontId="1" fillId="0" borderId="76" xfId="20" applyNumberFormat="1" applyFont="1" applyBorder="1">
      <alignment/>
      <protection/>
    </xf>
    <xf numFmtId="186" fontId="1" fillId="0" borderId="77" xfId="20" applyNumberFormat="1" applyFont="1" applyBorder="1">
      <alignment/>
      <protection/>
    </xf>
    <xf numFmtId="0" fontId="1" fillId="0" borderId="78" xfId="20" applyFont="1" applyBorder="1">
      <alignment/>
      <protection/>
    </xf>
    <xf numFmtId="186" fontId="1" fillId="0" borderId="79" xfId="20" applyNumberFormat="1" applyFont="1" applyBorder="1">
      <alignment/>
      <protection/>
    </xf>
    <xf numFmtId="186" fontId="1" fillId="0" borderId="80" xfId="20" applyNumberFormat="1" applyFont="1" applyBorder="1">
      <alignment/>
      <protection/>
    </xf>
    <xf numFmtId="186" fontId="1" fillId="0" borderId="81" xfId="20" applyNumberFormat="1" applyFont="1" applyBorder="1">
      <alignment/>
      <protection/>
    </xf>
    <xf numFmtId="186" fontId="1" fillId="0" borderId="82" xfId="20" applyNumberFormat="1" applyFont="1" applyBorder="1">
      <alignment/>
      <protection/>
    </xf>
    <xf numFmtId="186" fontId="1" fillId="0" borderId="0" xfId="20" applyNumberFormat="1" applyFont="1">
      <alignment/>
      <protection/>
    </xf>
    <xf numFmtId="0" fontId="1" fillId="2" borderId="83" xfId="20" applyFont="1" applyFill="1" applyBorder="1">
      <alignment/>
      <protection/>
    </xf>
    <xf numFmtId="186" fontId="1" fillId="2" borderId="84" xfId="20" applyNumberFormat="1" applyFont="1" applyFill="1" applyBorder="1">
      <alignment/>
      <protection/>
    </xf>
    <xf numFmtId="186" fontId="1" fillId="2" borderId="85" xfId="20" applyNumberFormat="1" applyFont="1" applyFill="1" applyBorder="1">
      <alignment/>
      <protection/>
    </xf>
    <xf numFmtId="186" fontId="1" fillId="2" borderId="86" xfId="20" applyNumberFormat="1" applyFont="1" applyFill="1" applyBorder="1">
      <alignment/>
      <protection/>
    </xf>
    <xf numFmtId="0" fontId="1" fillId="2" borderId="87" xfId="20" applyFont="1" applyFill="1" applyBorder="1">
      <alignment/>
      <protection/>
    </xf>
    <xf numFmtId="186" fontId="1" fillId="2" borderId="88" xfId="20" applyNumberFormat="1" applyFont="1" applyFill="1" applyBorder="1">
      <alignment/>
      <protection/>
    </xf>
    <xf numFmtId="186" fontId="1" fillId="2" borderId="89" xfId="20" applyNumberFormat="1" applyFont="1" applyFill="1" applyBorder="1">
      <alignment/>
      <protection/>
    </xf>
    <xf numFmtId="0" fontId="1" fillId="0" borderId="90" xfId="20" applyFont="1" applyBorder="1" applyAlignment="1">
      <alignment horizontal="center" vertical="center" wrapText="1"/>
      <protection/>
    </xf>
    <xf numFmtId="0" fontId="24" fillId="0" borderId="91" xfId="20" applyFont="1" applyBorder="1" applyAlignment="1">
      <alignment horizontal="right"/>
      <protection/>
    </xf>
    <xf numFmtId="0" fontId="0" fillId="3" borderId="0" xfId="23" applyFill="1">
      <alignment vertical="center"/>
      <protection/>
    </xf>
    <xf numFmtId="212" fontId="12" fillId="0" borderId="60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59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61" xfId="0" applyNumberFormat="1" applyFont="1" applyFill="1" applyBorder="1" applyAlignment="1" applyProtection="1">
      <alignment horizontal="right" vertical="center" shrinkToFit="1"/>
      <protection locked="0"/>
    </xf>
    <xf numFmtId="187" fontId="1" fillId="0" borderId="49" xfId="0" applyNumberFormat="1" applyFont="1" applyFill="1" applyBorder="1" applyAlignment="1" applyProtection="1">
      <alignment vertical="center"/>
      <protection locked="0"/>
    </xf>
    <xf numFmtId="187" fontId="1" fillId="0" borderId="44" xfId="0" applyNumberFormat="1" applyFont="1" applyFill="1" applyBorder="1" applyAlignment="1" applyProtection="1">
      <alignment vertical="center"/>
      <protection locked="0"/>
    </xf>
    <xf numFmtId="192" fontId="1" fillId="0" borderId="45" xfId="0" applyNumberFormat="1" applyFont="1" applyFill="1" applyBorder="1" applyAlignment="1" applyProtection="1">
      <alignment vertical="center"/>
      <protection locked="0"/>
    </xf>
    <xf numFmtId="205" fontId="1" fillId="0" borderId="43" xfId="0" applyNumberFormat="1" applyFont="1" applyFill="1" applyBorder="1" applyAlignment="1" applyProtection="1">
      <alignment vertical="center"/>
      <protection locked="0"/>
    </xf>
    <xf numFmtId="192" fontId="1" fillId="0" borderId="43" xfId="0" applyNumberFormat="1" applyFont="1" applyFill="1" applyBorder="1" applyAlignment="1" applyProtection="1">
      <alignment vertical="center"/>
      <protection locked="0"/>
    </xf>
    <xf numFmtId="186" fontId="1" fillId="0" borderId="43" xfId="0" applyNumberFormat="1" applyFont="1" applyFill="1" applyBorder="1" applyAlignment="1" applyProtection="1">
      <alignment vertical="center" shrinkToFit="1"/>
      <protection locked="0"/>
    </xf>
    <xf numFmtId="187" fontId="1" fillId="0" borderId="59" xfId="0" applyNumberFormat="1" applyFont="1" applyBorder="1" applyAlignment="1" applyProtection="1">
      <alignment horizontal="right" vertical="center" shrinkToFit="1"/>
      <protection locked="0"/>
    </xf>
    <xf numFmtId="187" fontId="1" fillId="0" borderId="50" xfId="0" applyNumberFormat="1" applyFont="1" applyFill="1" applyBorder="1" applyAlignment="1" applyProtection="1">
      <alignment vertical="center"/>
      <protection locked="0"/>
    </xf>
    <xf numFmtId="187" fontId="1" fillId="0" borderId="47" xfId="0" applyNumberFormat="1" applyFont="1" applyFill="1" applyBorder="1" applyAlignment="1" applyProtection="1">
      <alignment vertical="center"/>
      <protection locked="0"/>
    </xf>
    <xf numFmtId="205" fontId="1" fillId="0" borderId="49" xfId="0" applyNumberFormat="1" applyFont="1" applyFill="1" applyBorder="1" applyAlignment="1" applyProtection="1">
      <alignment vertical="center"/>
      <protection locked="0"/>
    </xf>
    <xf numFmtId="205" fontId="1" fillId="0" borderId="44" xfId="0" applyNumberFormat="1" applyFont="1" applyFill="1" applyBorder="1" applyAlignment="1" applyProtection="1">
      <alignment vertical="center"/>
      <protection locked="0"/>
    </xf>
    <xf numFmtId="205" fontId="1" fillId="0" borderId="50" xfId="0" applyNumberFormat="1" applyFont="1" applyFill="1" applyBorder="1" applyAlignment="1" applyProtection="1">
      <alignment vertical="center"/>
      <protection locked="0"/>
    </xf>
    <xf numFmtId="187" fontId="1" fillId="0" borderId="56" xfId="0" applyNumberFormat="1" applyFont="1" applyFill="1" applyBorder="1" applyAlignment="1" applyProtection="1">
      <alignment horizontal="right" vertical="center" shrinkToFit="1"/>
      <protection locked="0"/>
    </xf>
    <xf numFmtId="187" fontId="1" fillId="0" borderId="57" xfId="0" applyNumberFormat="1" applyFont="1" applyFill="1" applyBorder="1" applyAlignment="1" applyProtection="1">
      <alignment horizontal="right" vertical="center" shrinkToFit="1"/>
      <protection locked="0"/>
    </xf>
    <xf numFmtId="187" fontId="1" fillId="0" borderId="62" xfId="0" applyNumberFormat="1" applyFont="1" applyFill="1" applyBorder="1" applyAlignment="1" applyProtection="1">
      <alignment horizontal="right" vertical="center" shrinkToFit="1"/>
      <protection locked="0"/>
    </xf>
    <xf numFmtId="187" fontId="1" fillId="0" borderId="63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23" xfId="22" applyNumberFormat="1" applyFont="1" applyFill="1" applyBorder="1" applyAlignment="1">
      <alignment vertical="center"/>
      <protection/>
    </xf>
    <xf numFmtId="0" fontId="1" fillId="0" borderId="92" xfId="22" applyNumberFormat="1" applyFont="1" applyFill="1" applyBorder="1" applyAlignment="1">
      <alignment vertical="center"/>
      <protection/>
    </xf>
    <xf numFmtId="0" fontId="1" fillId="0" borderId="6" xfId="22" applyNumberFormat="1" applyFont="1" applyFill="1" applyBorder="1" applyAlignment="1">
      <alignment vertical="center"/>
      <protection/>
    </xf>
    <xf numFmtId="0" fontId="1" fillId="0" borderId="93" xfId="22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21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215" fontId="0" fillId="0" borderId="0" xfId="0" applyNumberFormat="1" applyAlignment="1">
      <alignment/>
    </xf>
    <xf numFmtId="208" fontId="25" fillId="0" borderId="0" xfId="22" applyNumberFormat="1" applyFont="1" applyFill="1" applyAlignment="1">
      <alignment vertical="center"/>
      <protection/>
    </xf>
    <xf numFmtId="0" fontId="26" fillId="0" borderId="0" xfId="22" applyFont="1" applyFill="1" applyAlignment="1">
      <alignment vertical="center"/>
      <protection/>
    </xf>
    <xf numFmtId="49" fontId="1" fillId="0" borderId="0" xfId="22" applyNumberFormat="1" applyFont="1" applyFill="1" applyBorder="1" applyAlignment="1">
      <alignment horizontal="right" vertical="center"/>
      <protection/>
    </xf>
    <xf numFmtId="49" fontId="1" fillId="0" borderId="7" xfId="22" applyNumberFormat="1" applyFont="1" applyFill="1" applyBorder="1" applyAlignment="1">
      <alignment horizontal="center" vertical="center"/>
      <protection/>
    </xf>
    <xf numFmtId="208" fontId="1" fillId="0" borderId="8" xfId="22" applyNumberFormat="1" applyFont="1" applyFill="1" applyBorder="1" applyAlignment="1">
      <alignment horizontal="right" vertical="center"/>
      <protection/>
    </xf>
    <xf numFmtId="208" fontId="1" fillId="0" borderId="94" xfId="22" applyNumberFormat="1" applyFont="1" applyFill="1" applyBorder="1" applyAlignment="1">
      <alignment horizontal="right" vertical="center"/>
      <protection/>
    </xf>
    <xf numFmtId="0" fontId="1" fillId="0" borderId="95" xfId="20" applyFont="1" applyBorder="1">
      <alignment/>
      <protection/>
    </xf>
    <xf numFmtId="0" fontId="1" fillId="0" borderId="96" xfId="20" applyFont="1" applyBorder="1">
      <alignment/>
      <protection/>
    </xf>
    <xf numFmtId="0" fontId="1" fillId="0" borderId="97" xfId="20" applyFont="1" applyBorder="1">
      <alignment/>
      <protection/>
    </xf>
    <xf numFmtId="38" fontId="19" fillId="0" borderId="98" xfId="0" applyNumberFormat="1" applyFont="1" applyBorder="1" applyAlignment="1">
      <alignment vertical="center"/>
    </xf>
    <xf numFmtId="182" fontId="19" fillId="0" borderId="99" xfId="21" applyNumberFormat="1" applyFont="1" applyBorder="1" applyAlignment="1">
      <alignment vertical="center"/>
      <protection/>
    </xf>
    <xf numFmtId="38" fontId="19" fillId="0" borderId="99" xfId="0" applyNumberFormat="1" applyFont="1" applyBorder="1" applyAlignment="1">
      <alignment vertical="center"/>
    </xf>
    <xf numFmtId="182" fontId="19" fillId="0" borderId="1" xfId="21" applyNumberFormat="1" applyFont="1" applyBorder="1" applyAlignment="1">
      <alignment vertical="center"/>
      <protection/>
    </xf>
    <xf numFmtId="3" fontId="19" fillId="0" borderId="98" xfId="0" applyNumberFormat="1" applyFont="1" applyBorder="1" applyAlignment="1">
      <alignment vertical="center"/>
    </xf>
    <xf numFmtId="3" fontId="19" fillId="0" borderId="99" xfId="0" applyNumberFormat="1" applyFont="1" applyBorder="1" applyAlignment="1">
      <alignment vertical="center"/>
    </xf>
    <xf numFmtId="187" fontId="19" fillId="0" borderId="3" xfId="0" applyNumberFormat="1" applyFont="1" applyFill="1" applyBorder="1" applyAlignment="1">
      <alignment horizontal="right" vertical="center"/>
    </xf>
    <xf numFmtId="38" fontId="19" fillId="0" borderId="100" xfId="0" applyNumberFormat="1" applyFont="1" applyBorder="1" applyAlignment="1">
      <alignment vertical="center"/>
    </xf>
    <xf numFmtId="182" fontId="19" fillId="0" borderId="101" xfId="21" applyNumberFormat="1" applyFont="1" applyBorder="1" applyAlignment="1">
      <alignment vertical="center"/>
      <protection/>
    </xf>
    <xf numFmtId="38" fontId="19" fillId="0" borderId="101" xfId="0" applyNumberFormat="1" applyFont="1" applyBorder="1" applyAlignment="1">
      <alignment vertical="center"/>
    </xf>
    <xf numFmtId="182" fontId="19" fillId="0" borderId="102" xfId="21" applyNumberFormat="1" applyFont="1" applyBorder="1" applyAlignment="1">
      <alignment vertical="center"/>
      <protection/>
    </xf>
    <xf numFmtId="3" fontId="19" fillId="0" borderId="100" xfId="0" applyNumberFormat="1" applyFont="1" applyBorder="1" applyAlignment="1">
      <alignment vertical="center"/>
    </xf>
    <xf numFmtId="3" fontId="19" fillId="0" borderId="101" xfId="0" applyNumberFormat="1" applyFont="1" applyBorder="1" applyAlignment="1">
      <alignment vertical="center"/>
    </xf>
    <xf numFmtId="187" fontId="19" fillId="0" borderId="23" xfId="0" applyNumberFormat="1" applyFont="1" applyFill="1" applyBorder="1" applyAlignment="1">
      <alignment horizontal="right" vertical="center"/>
    </xf>
    <xf numFmtId="187" fontId="19" fillId="0" borderId="103" xfId="0" applyNumberFormat="1" applyFont="1" applyFill="1" applyBorder="1" applyAlignment="1">
      <alignment horizontal="right" vertical="center"/>
    </xf>
    <xf numFmtId="38" fontId="19" fillId="0" borderId="18" xfId="0" applyNumberFormat="1" applyFont="1" applyBorder="1" applyAlignment="1">
      <alignment vertical="center"/>
    </xf>
    <xf numFmtId="38" fontId="19" fillId="0" borderId="104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0" borderId="104" xfId="0" applyNumberFormat="1" applyFont="1" applyBorder="1" applyAlignment="1">
      <alignment vertical="center"/>
    </xf>
    <xf numFmtId="187" fontId="19" fillId="0" borderId="105" xfId="0" applyNumberFormat="1" applyFont="1" applyFill="1" applyBorder="1" applyAlignment="1">
      <alignment horizontal="right" vertical="center"/>
    </xf>
    <xf numFmtId="187" fontId="19" fillId="0" borderId="106" xfId="0" applyNumberFormat="1" applyFont="1" applyFill="1" applyBorder="1" applyAlignment="1">
      <alignment horizontal="right" vertical="center"/>
    </xf>
    <xf numFmtId="38" fontId="19" fillId="0" borderId="27" xfId="0" applyNumberFormat="1" applyFont="1" applyBorder="1" applyAlignment="1">
      <alignment vertical="center"/>
    </xf>
    <xf numFmtId="179" fontId="19" fillId="0" borderId="107" xfId="0" applyNumberFormat="1" applyFont="1" applyBorder="1" applyAlignment="1">
      <alignment vertical="center"/>
    </xf>
    <xf numFmtId="38" fontId="19" fillId="0" borderId="94" xfId="0" applyNumberFormat="1" applyFont="1" applyBorder="1" applyAlignment="1">
      <alignment vertical="center"/>
    </xf>
    <xf numFmtId="179" fontId="19" fillId="0" borderId="94" xfId="0" applyNumberFormat="1" applyFont="1" applyBorder="1" applyAlignment="1">
      <alignment vertical="center"/>
    </xf>
    <xf numFmtId="3" fontId="19" fillId="0" borderId="108" xfId="0" applyNumberFormat="1" applyFont="1" applyBorder="1" applyAlignment="1">
      <alignment vertical="center"/>
    </xf>
    <xf numFmtId="3" fontId="19" fillId="0" borderId="94" xfId="0" applyNumberFormat="1" applyFont="1" applyBorder="1" applyAlignment="1">
      <alignment vertical="center"/>
    </xf>
    <xf numFmtId="3" fontId="19" fillId="0" borderId="94" xfId="0" applyNumberFormat="1" applyFont="1" applyFill="1" applyBorder="1" applyAlignment="1">
      <alignment vertical="center"/>
    </xf>
    <xf numFmtId="187" fontId="19" fillId="0" borderId="27" xfId="0" applyNumberFormat="1" applyFont="1" applyFill="1" applyBorder="1" applyAlignment="1">
      <alignment horizontal="right" vertical="center"/>
    </xf>
    <xf numFmtId="212" fontId="17" fillId="0" borderId="0" xfId="0" applyNumberFormat="1" applyFont="1" applyAlignment="1">
      <alignment vertical="center"/>
    </xf>
    <xf numFmtId="212" fontId="19" fillId="0" borderId="17" xfId="0" applyNumberFormat="1" applyFont="1" applyBorder="1" applyAlignment="1">
      <alignment horizontal="center" vertical="center"/>
    </xf>
    <xf numFmtId="212" fontId="19" fillId="0" borderId="109" xfId="21" applyNumberFormat="1" applyFont="1" applyBorder="1" applyAlignment="1">
      <alignment vertical="center"/>
      <protection/>
    </xf>
    <xf numFmtId="212" fontId="19" fillId="0" borderId="5" xfId="21" applyNumberFormat="1" applyFont="1" applyBorder="1" applyAlignment="1">
      <alignment vertical="center"/>
      <protection/>
    </xf>
    <xf numFmtId="212" fontId="19" fillId="0" borderId="110" xfId="21" applyNumberFormat="1" applyFont="1" applyBorder="1" applyAlignment="1">
      <alignment vertical="center"/>
      <protection/>
    </xf>
    <xf numFmtId="212" fontId="19" fillId="0" borderId="111" xfId="21" applyNumberFormat="1" applyFont="1" applyBorder="1" applyAlignment="1">
      <alignment vertical="center"/>
      <protection/>
    </xf>
    <xf numFmtId="212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14" fontId="1" fillId="0" borderId="0" xfId="22" applyNumberFormat="1" applyFont="1" applyFill="1" applyBorder="1" applyAlignment="1" quotePrefix="1">
      <alignment vertical="center"/>
      <protection/>
    </xf>
    <xf numFmtId="0" fontId="1" fillId="0" borderId="0" xfId="22" applyFont="1" applyFill="1" applyBorder="1" applyAlignment="1" quotePrefix="1">
      <alignment vertical="center"/>
      <protection/>
    </xf>
    <xf numFmtId="214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215" fontId="0" fillId="4" borderId="0" xfId="0" applyNumberFormat="1" applyFill="1" applyAlignment="1">
      <alignment/>
    </xf>
    <xf numFmtId="214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215" fontId="0" fillId="5" borderId="0" xfId="0" applyNumberFormat="1" applyFill="1" applyAlignment="1">
      <alignment/>
    </xf>
    <xf numFmtId="187" fontId="19" fillId="0" borderId="112" xfId="0" applyNumberFormat="1" applyFont="1" applyFill="1" applyBorder="1" applyAlignment="1">
      <alignment horizontal="right" vertical="center"/>
    </xf>
    <xf numFmtId="187" fontId="19" fillId="0" borderId="113" xfId="0" applyNumberFormat="1" applyFont="1" applyFill="1" applyBorder="1" applyAlignment="1">
      <alignment horizontal="right" vertical="center"/>
    </xf>
    <xf numFmtId="187" fontId="19" fillId="0" borderId="114" xfId="0" applyNumberFormat="1" applyFont="1" applyFill="1" applyBorder="1" applyAlignment="1">
      <alignment horizontal="right" vertical="center"/>
    </xf>
    <xf numFmtId="187" fontId="19" fillId="0" borderId="115" xfId="0" applyNumberFormat="1" applyFont="1" applyFill="1" applyBorder="1" applyAlignment="1">
      <alignment horizontal="right" vertical="center"/>
    </xf>
    <xf numFmtId="187" fontId="19" fillId="0" borderId="116" xfId="0" applyNumberFormat="1" applyFont="1" applyFill="1" applyBorder="1" applyAlignment="1">
      <alignment horizontal="right" vertical="center"/>
    </xf>
    <xf numFmtId="187" fontId="19" fillId="0" borderId="117" xfId="0" applyNumberFormat="1" applyFont="1" applyFill="1" applyBorder="1" applyAlignment="1">
      <alignment horizontal="right" vertical="center"/>
    </xf>
    <xf numFmtId="212" fontId="12" fillId="0" borderId="57" xfId="0" applyNumberFormat="1" applyFont="1" applyBorder="1" applyAlignment="1" applyProtection="1">
      <alignment vertical="center" shrinkToFit="1"/>
      <protection locked="0"/>
    </xf>
    <xf numFmtId="212" fontId="12" fillId="0" borderId="57" xfId="0" applyNumberFormat="1" applyFont="1" applyBorder="1" applyAlignment="1" applyProtection="1">
      <alignment horizontal="right" vertical="center" shrinkToFit="1"/>
      <protection locked="0"/>
    </xf>
    <xf numFmtId="212" fontId="12" fillId="0" borderId="56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57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49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59" xfId="0" applyNumberFormat="1" applyFont="1" applyBorder="1" applyAlignment="1" applyProtection="1">
      <alignment vertical="center" shrinkToFit="1"/>
      <protection locked="0"/>
    </xf>
    <xf numFmtId="212" fontId="12" fillId="0" borderId="59" xfId="0" applyNumberFormat="1" applyFont="1" applyBorder="1" applyAlignment="1" applyProtection="1">
      <alignment horizontal="right" vertical="center" shrinkToFit="1"/>
      <protection locked="0"/>
    </xf>
    <xf numFmtId="212" fontId="12" fillId="0" borderId="44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42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118" xfId="0" applyNumberFormat="1" applyFont="1" applyBorder="1" applyAlignment="1" applyProtection="1">
      <alignment vertical="center" shrinkToFit="1"/>
      <protection locked="0"/>
    </xf>
    <xf numFmtId="212" fontId="12" fillId="0" borderId="118" xfId="0" applyNumberFormat="1" applyFont="1" applyBorder="1" applyAlignment="1" applyProtection="1">
      <alignment horizontal="right" vertical="center" shrinkToFit="1"/>
      <protection locked="0"/>
    </xf>
    <xf numFmtId="212" fontId="12" fillId="0" borderId="61" xfId="0" applyNumberFormat="1" applyFont="1" applyBorder="1" applyAlignment="1" applyProtection="1">
      <alignment vertical="center" shrinkToFit="1"/>
      <protection locked="0"/>
    </xf>
    <xf numFmtId="212" fontId="12" fillId="0" borderId="61" xfId="0" applyNumberFormat="1" applyFont="1" applyBorder="1" applyAlignment="1" applyProtection="1">
      <alignment horizontal="right" vertical="center" shrinkToFit="1"/>
      <protection locked="0"/>
    </xf>
    <xf numFmtId="212" fontId="12" fillId="0" borderId="50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63" xfId="0" applyNumberFormat="1" applyFont="1" applyBorder="1" applyAlignment="1" applyProtection="1">
      <alignment vertical="center" shrinkToFit="1"/>
      <protection locked="0"/>
    </xf>
    <xf numFmtId="212" fontId="12" fillId="0" borderId="63" xfId="0" applyNumberFormat="1" applyFont="1" applyBorder="1" applyAlignment="1" applyProtection="1">
      <alignment horizontal="right" vertical="center" shrinkToFit="1"/>
      <protection locked="0"/>
    </xf>
    <xf numFmtId="212" fontId="12" fillId="0" borderId="62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63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47" xfId="0" applyNumberFormat="1" applyFont="1" applyFill="1" applyBorder="1" applyAlignment="1" applyProtection="1">
      <alignment horizontal="right" vertical="center" shrinkToFit="1"/>
      <protection locked="0"/>
    </xf>
    <xf numFmtId="218" fontId="1" fillId="0" borderId="0" xfId="21" applyNumberFormat="1" applyFont="1" applyAlignment="1">
      <alignment vertical="center"/>
      <protection/>
    </xf>
    <xf numFmtId="218" fontId="12" fillId="0" borderId="33" xfId="0" applyNumberFormat="1" applyFont="1" applyBorder="1" applyAlignment="1" applyProtection="1">
      <alignment horizontal="center" vertical="center"/>
      <protection locked="0"/>
    </xf>
    <xf numFmtId="218" fontId="12" fillId="0" borderId="37" xfId="0" applyNumberFormat="1" applyFont="1" applyBorder="1" applyAlignment="1" applyProtection="1">
      <alignment horizontal="center" vertical="center" shrinkToFit="1"/>
      <protection locked="0"/>
    </xf>
    <xf numFmtId="218" fontId="12" fillId="0" borderId="51" xfId="0" applyNumberFormat="1" applyFont="1" applyBorder="1" applyAlignment="1" applyProtection="1">
      <alignment vertical="center"/>
      <protection locked="0"/>
    </xf>
    <xf numFmtId="218" fontId="12" fillId="0" borderId="0" xfId="0" applyNumberFormat="1" applyFont="1" applyBorder="1" applyAlignment="1" applyProtection="1">
      <alignment/>
      <protection locked="0"/>
    </xf>
    <xf numFmtId="218" fontId="12" fillId="0" borderId="34" xfId="0" applyNumberFormat="1" applyFont="1" applyFill="1" applyBorder="1" applyAlignment="1" applyProtection="1">
      <alignment horizontal="center" vertical="center"/>
      <protection locked="0"/>
    </xf>
    <xf numFmtId="218" fontId="12" fillId="0" borderId="38" xfId="0" applyNumberFormat="1" applyFont="1" applyBorder="1" applyAlignment="1" applyProtection="1">
      <alignment horizontal="center" vertical="center" shrinkToFit="1"/>
      <protection locked="0"/>
    </xf>
    <xf numFmtId="186" fontId="1" fillId="0" borderId="0" xfId="21" applyNumberFormat="1" applyFont="1" applyAlignment="1">
      <alignment vertical="center"/>
      <protection/>
    </xf>
    <xf numFmtId="186" fontId="12" fillId="0" borderId="34" xfId="0" applyNumberFormat="1" applyFont="1" applyBorder="1" applyAlignment="1" applyProtection="1">
      <alignment horizontal="center" vertical="center"/>
      <protection locked="0"/>
    </xf>
    <xf numFmtId="186" fontId="12" fillId="0" borderId="38" xfId="0" applyNumberFormat="1" applyFont="1" applyBorder="1" applyAlignment="1" applyProtection="1">
      <alignment horizontal="center" vertical="center" shrinkToFit="1"/>
      <protection locked="0"/>
    </xf>
    <xf numFmtId="186" fontId="12" fillId="0" borderId="0" xfId="0" applyNumberFormat="1" applyFont="1" applyBorder="1" applyAlignment="1" applyProtection="1">
      <alignment/>
      <protection locked="0"/>
    </xf>
    <xf numFmtId="186" fontId="12" fillId="0" borderId="33" xfId="0" applyNumberFormat="1" applyFont="1" applyBorder="1" applyAlignment="1" applyProtection="1">
      <alignment horizontal="center" vertical="center"/>
      <protection locked="0"/>
    </xf>
    <xf numFmtId="186" fontId="12" fillId="0" borderId="37" xfId="0" applyNumberFormat="1" applyFont="1" applyBorder="1" applyAlignment="1" applyProtection="1">
      <alignment horizontal="center" vertical="center" shrinkToFit="1"/>
      <protection locked="0"/>
    </xf>
    <xf numFmtId="186" fontId="12" fillId="0" borderId="51" xfId="0" applyNumberFormat="1" applyFont="1" applyBorder="1" applyAlignment="1" applyProtection="1">
      <alignment vertical="center"/>
      <protection locked="0"/>
    </xf>
    <xf numFmtId="186" fontId="12" fillId="0" borderId="41" xfId="0" applyNumberFormat="1" applyFont="1" applyFill="1" applyBorder="1" applyAlignment="1" applyProtection="1">
      <alignment horizontal="right" vertical="center" shrinkToFit="1"/>
      <protection locked="0"/>
    </xf>
    <xf numFmtId="186" fontId="12" fillId="0" borderId="43" xfId="0" applyNumberFormat="1" applyFont="1" applyBorder="1" applyAlignment="1" applyProtection="1">
      <alignment horizontal="right" vertical="center" shrinkToFit="1"/>
      <protection locked="0"/>
    </xf>
    <xf numFmtId="186" fontId="12" fillId="0" borderId="119" xfId="0" applyNumberFormat="1" applyFont="1" applyBorder="1" applyAlignment="1" applyProtection="1">
      <alignment horizontal="right" vertical="center" shrinkToFit="1"/>
      <protection locked="0"/>
    </xf>
    <xf numFmtId="186" fontId="12" fillId="0" borderId="43" xfId="0" applyNumberFormat="1" applyFont="1" applyFill="1" applyBorder="1" applyAlignment="1" applyProtection="1">
      <alignment horizontal="right" vertical="center" shrinkToFit="1"/>
      <protection locked="0"/>
    </xf>
    <xf numFmtId="186" fontId="12" fillId="0" borderId="46" xfId="0" applyNumberFormat="1" applyFont="1" applyBorder="1" applyAlignment="1" applyProtection="1">
      <alignment horizontal="right" vertical="center" shrinkToFit="1"/>
      <protection locked="0"/>
    </xf>
    <xf numFmtId="186" fontId="12" fillId="0" borderId="48" xfId="0" applyNumberFormat="1" applyFont="1" applyBorder="1" applyAlignment="1" applyProtection="1">
      <alignment horizontal="right" vertical="center" shrinkToFit="1"/>
      <protection locked="0"/>
    </xf>
    <xf numFmtId="186" fontId="12" fillId="0" borderId="41" xfId="0" applyNumberFormat="1" applyFont="1" applyBorder="1" applyAlignment="1" applyProtection="1">
      <alignment horizontal="right" vertical="center" shrinkToFit="1"/>
      <protection locked="0"/>
    </xf>
    <xf numFmtId="212" fontId="12" fillId="0" borderId="120" xfId="0" applyNumberFormat="1" applyFont="1" applyFill="1" applyBorder="1" applyAlignment="1" applyProtection="1">
      <alignment horizontal="right" vertical="center" shrinkToFit="1"/>
      <protection locked="0"/>
    </xf>
    <xf numFmtId="212" fontId="12" fillId="0" borderId="118" xfId="0" applyNumberFormat="1" applyFont="1" applyFill="1" applyBorder="1" applyAlignment="1" applyProtection="1">
      <alignment horizontal="right" vertical="center" shrinkToFit="1"/>
      <protection locked="0"/>
    </xf>
    <xf numFmtId="218" fontId="12" fillId="0" borderId="56" xfId="0" applyNumberFormat="1" applyFont="1" applyBorder="1" applyAlignment="1" applyProtection="1">
      <alignment vertical="center" shrinkToFit="1"/>
      <protection locked="0"/>
    </xf>
    <xf numFmtId="212" fontId="12" fillId="0" borderId="41" xfId="0" applyNumberFormat="1" applyFont="1" applyBorder="1" applyAlignment="1" applyProtection="1">
      <alignment vertical="center" shrinkToFit="1"/>
      <protection locked="0"/>
    </xf>
    <xf numFmtId="218" fontId="12" fillId="0" borderId="41" xfId="0" applyNumberFormat="1" applyFont="1" applyBorder="1" applyAlignment="1" applyProtection="1">
      <alignment vertical="center" shrinkToFit="1"/>
      <protection locked="0"/>
    </xf>
    <xf numFmtId="186" fontId="12" fillId="0" borderId="56" xfId="0" applyNumberFormat="1" applyFont="1" applyBorder="1" applyAlignment="1" applyProtection="1">
      <alignment vertical="center" shrinkToFit="1"/>
      <protection locked="0"/>
    </xf>
    <xf numFmtId="218" fontId="12" fillId="0" borderId="45" xfId="0" applyNumberFormat="1" applyFont="1" applyBorder="1" applyAlignment="1" applyProtection="1">
      <alignment vertical="center" shrinkToFit="1"/>
      <protection locked="0"/>
    </xf>
    <xf numFmtId="212" fontId="12" fillId="0" borderId="43" xfId="0" applyNumberFormat="1" applyFont="1" applyBorder="1" applyAlignment="1" applyProtection="1">
      <alignment vertical="center" shrinkToFit="1"/>
      <protection locked="0"/>
    </xf>
    <xf numFmtId="218" fontId="12" fillId="0" borderId="43" xfId="0" applyNumberFormat="1" applyFont="1" applyBorder="1" applyAlignment="1" applyProtection="1">
      <alignment vertical="center" shrinkToFit="1"/>
      <protection locked="0"/>
    </xf>
    <xf numFmtId="186" fontId="12" fillId="0" borderId="45" xfId="0" applyNumberFormat="1" applyFont="1" applyBorder="1" applyAlignment="1" applyProtection="1">
      <alignment vertical="center" shrinkToFit="1"/>
      <protection locked="0"/>
    </xf>
    <xf numFmtId="186" fontId="12" fillId="0" borderId="120" xfId="0" applyNumberFormat="1" applyFont="1" applyBorder="1" applyAlignment="1" applyProtection="1">
      <alignment vertical="center" shrinkToFit="1"/>
      <protection locked="0"/>
    </xf>
    <xf numFmtId="186" fontId="12" fillId="0" borderId="121" xfId="0" applyNumberFormat="1" applyFont="1" applyBorder="1" applyAlignment="1" applyProtection="1">
      <alignment vertical="center" shrinkToFit="1"/>
      <protection locked="0"/>
    </xf>
    <xf numFmtId="212" fontId="12" fillId="0" borderId="121" xfId="0" applyNumberFormat="1" applyFont="1" applyBorder="1" applyAlignment="1" applyProtection="1">
      <alignment vertical="center" shrinkToFit="1"/>
      <protection locked="0"/>
    </xf>
    <xf numFmtId="186" fontId="12" fillId="0" borderId="122" xfId="0" applyNumberFormat="1" applyFont="1" applyBorder="1" applyAlignment="1" applyProtection="1">
      <alignment vertical="center" shrinkToFit="1"/>
      <protection locked="0"/>
    </xf>
    <xf numFmtId="218" fontId="12" fillId="0" borderId="60" xfId="0" applyNumberFormat="1" applyFont="1" applyBorder="1" applyAlignment="1" applyProtection="1">
      <alignment vertical="center" shrinkToFit="1"/>
      <protection locked="0"/>
    </xf>
    <xf numFmtId="212" fontId="12" fillId="0" borderId="46" xfId="0" applyNumberFormat="1" applyFont="1" applyBorder="1" applyAlignment="1" applyProtection="1">
      <alignment vertical="center" shrinkToFit="1"/>
      <protection locked="0"/>
    </xf>
    <xf numFmtId="218" fontId="12" fillId="0" borderId="46" xfId="0" applyNumberFormat="1" applyFont="1" applyBorder="1" applyAlignment="1" applyProtection="1">
      <alignment vertical="center" shrinkToFit="1"/>
      <protection locked="0"/>
    </xf>
    <xf numFmtId="186" fontId="12" fillId="0" borderId="60" xfId="0" applyNumberFormat="1" applyFont="1" applyBorder="1" applyAlignment="1" applyProtection="1">
      <alignment vertical="center" shrinkToFit="1"/>
      <protection locked="0"/>
    </xf>
    <xf numFmtId="218" fontId="12" fillId="0" borderId="62" xfId="0" applyNumberFormat="1" applyFont="1" applyBorder="1" applyAlignment="1" applyProtection="1">
      <alignment vertical="center" shrinkToFit="1"/>
      <protection locked="0"/>
    </xf>
    <xf numFmtId="212" fontId="12" fillId="0" borderId="48" xfId="0" applyNumberFormat="1" applyFont="1" applyBorder="1" applyAlignment="1" applyProtection="1">
      <alignment vertical="center" shrinkToFit="1"/>
      <protection locked="0"/>
    </xf>
    <xf numFmtId="218" fontId="12" fillId="0" borderId="48" xfId="0" applyNumberFormat="1" applyFont="1" applyBorder="1" applyAlignment="1" applyProtection="1">
      <alignment vertical="center" shrinkToFit="1"/>
      <protection locked="0"/>
    </xf>
    <xf numFmtId="186" fontId="12" fillId="0" borderId="62" xfId="0" applyNumberFormat="1" applyFont="1" applyBorder="1" applyAlignment="1" applyProtection="1">
      <alignment vertical="center" shrinkToFit="1"/>
      <protection locked="0"/>
    </xf>
    <xf numFmtId="210" fontId="1" fillId="0" borderId="29" xfId="22" applyNumberFormat="1" applyFont="1" applyFill="1" applyBorder="1" applyAlignment="1">
      <alignment horizontal="right" vertical="center" shrinkToFit="1"/>
      <protection/>
    </xf>
    <xf numFmtId="0" fontId="0" fillId="0" borderId="123" xfId="0" applyNumberFormat="1" applyFont="1" applyFill="1" applyBorder="1" applyAlignment="1">
      <alignment horizontal="center" vertical="center" wrapText="1"/>
    </xf>
    <xf numFmtId="0" fontId="1" fillId="0" borderId="124" xfId="0" applyNumberFormat="1" applyFont="1" applyFill="1" applyBorder="1" applyAlignment="1">
      <alignment horizontal="center" vertical="center"/>
    </xf>
    <xf numFmtId="208" fontId="8" fillId="0" borderId="20" xfId="16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textRotation="180"/>
    </xf>
    <xf numFmtId="208" fontId="8" fillId="0" borderId="125" xfId="16" applyNumberFormat="1" applyFont="1" applyFill="1" applyBorder="1" applyAlignment="1">
      <alignment horizontal="right" vertical="center"/>
    </xf>
    <xf numFmtId="208" fontId="8" fillId="0" borderId="126" xfId="16" applyNumberFormat="1" applyFont="1" applyFill="1" applyBorder="1" applyAlignment="1">
      <alignment horizontal="right" vertical="center"/>
    </xf>
    <xf numFmtId="0" fontId="1" fillId="0" borderId="105" xfId="0" applyNumberFormat="1" applyFont="1" applyFill="1" applyBorder="1" applyAlignment="1">
      <alignment horizontal="center" vertical="center"/>
    </xf>
    <xf numFmtId="0" fontId="1" fillId="0" borderId="126" xfId="0" applyNumberFormat="1" applyFont="1" applyFill="1" applyBorder="1" applyAlignment="1">
      <alignment horizontal="center" vertical="center"/>
    </xf>
    <xf numFmtId="0" fontId="1" fillId="0" borderId="110" xfId="0" applyNumberFormat="1" applyFont="1" applyFill="1" applyBorder="1" applyAlignment="1">
      <alignment horizontal="center" vertical="center"/>
    </xf>
    <xf numFmtId="208" fontId="8" fillId="0" borderId="102" xfId="16" applyNumberFormat="1" applyFont="1" applyFill="1" applyBorder="1" applyAlignment="1">
      <alignment horizontal="right" vertical="center"/>
    </xf>
    <xf numFmtId="208" fontId="8" fillId="0" borderId="127" xfId="16" applyNumberFormat="1" applyFont="1" applyFill="1" applyBorder="1" applyAlignment="1">
      <alignment horizontal="right" vertical="center"/>
    </xf>
    <xf numFmtId="208" fontId="8" fillId="0" borderId="110" xfId="16" applyNumberFormat="1" applyFont="1" applyFill="1" applyBorder="1" applyAlignment="1">
      <alignment horizontal="right" vertical="center"/>
    </xf>
    <xf numFmtId="208" fontId="8" fillId="0" borderId="128" xfId="16" applyNumberFormat="1" applyFont="1" applyFill="1" applyBorder="1" applyAlignment="1">
      <alignment horizontal="right" vertical="center"/>
    </xf>
    <xf numFmtId="208" fontId="8" fillId="0" borderId="124" xfId="16" applyNumberFormat="1" applyFont="1" applyFill="1" applyBorder="1" applyAlignment="1">
      <alignment horizontal="right" vertical="center"/>
    </xf>
    <xf numFmtId="0" fontId="1" fillId="0" borderId="100" xfId="0" applyNumberFormat="1" applyFont="1" applyFill="1" applyBorder="1" applyAlignment="1">
      <alignment horizontal="center" vertical="center"/>
    </xf>
    <xf numFmtId="0" fontId="1" fillId="0" borderId="10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208" fontId="8" fillId="0" borderId="23" xfId="16" applyNumberFormat="1" applyFont="1" applyFill="1" applyBorder="1" applyAlignment="1">
      <alignment horizontal="right" vertical="center"/>
    </xf>
    <xf numFmtId="208" fontId="8" fillId="0" borderId="129" xfId="16" applyNumberFormat="1" applyFont="1" applyFill="1" applyBorder="1" applyAlignment="1">
      <alignment horizontal="right" vertical="center"/>
    </xf>
    <xf numFmtId="208" fontId="8" fillId="0" borderId="130" xfId="16" applyNumberFormat="1" applyFont="1" applyFill="1" applyBorder="1" applyAlignment="1">
      <alignment horizontal="right" vertical="center"/>
    </xf>
    <xf numFmtId="0" fontId="1" fillId="0" borderId="131" xfId="0" applyNumberFormat="1" applyFont="1" applyFill="1" applyBorder="1" applyAlignment="1">
      <alignment horizontal="center" vertical="center"/>
    </xf>
    <xf numFmtId="0" fontId="1" fillId="0" borderId="128" xfId="0" applyNumberFormat="1" applyFont="1" applyFill="1" applyBorder="1" applyAlignment="1">
      <alignment horizontal="center" vertical="center"/>
    </xf>
    <xf numFmtId="0" fontId="1" fillId="0" borderId="129" xfId="0" applyNumberFormat="1" applyFont="1" applyFill="1" applyBorder="1" applyAlignment="1">
      <alignment horizontal="center" vertical="center" wrapText="1"/>
    </xf>
    <xf numFmtId="0" fontId="1" fillId="0" borderId="132" xfId="0" applyNumberFormat="1" applyFont="1" applyFill="1" applyBorder="1" applyAlignment="1">
      <alignment horizontal="center" vertical="center" wrapText="1"/>
    </xf>
    <xf numFmtId="0" fontId="0" fillId="0" borderId="133" xfId="0" applyNumberFormat="1" applyFont="1" applyFill="1" applyBorder="1" applyAlignment="1">
      <alignment horizontal="center" vertical="center" wrapText="1"/>
    </xf>
    <xf numFmtId="0" fontId="1" fillId="0" borderId="134" xfId="0" applyNumberFormat="1" applyFont="1" applyFill="1" applyBorder="1" applyAlignment="1">
      <alignment horizontal="right" vertical="center" wrapText="1"/>
    </xf>
    <xf numFmtId="0" fontId="1" fillId="0" borderId="126" xfId="0" applyNumberFormat="1" applyFont="1" applyFill="1" applyBorder="1" applyAlignment="1">
      <alignment horizontal="distributed" vertical="center" wrapText="1"/>
    </xf>
    <xf numFmtId="0" fontId="1" fillId="0" borderId="135" xfId="0" applyNumberFormat="1" applyFont="1" applyFill="1" applyBorder="1" applyAlignment="1">
      <alignment horizontal="center" vertical="center" wrapText="1"/>
    </xf>
    <xf numFmtId="0" fontId="1" fillId="0" borderId="136" xfId="0" applyNumberFormat="1" applyFont="1" applyFill="1" applyBorder="1" applyAlignment="1">
      <alignment horizontal="center" vertical="center" wrapText="1"/>
    </xf>
    <xf numFmtId="0" fontId="1" fillId="0" borderId="137" xfId="0" applyNumberFormat="1" applyFont="1" applyFill="1" applyBorder="1" applyAlignment="1">
      <alignment horizontal="center" vertical="center" wrapText="1"/>
    </xf>
    <xf numFmtId="0" fontId="1" fillId="0" borderId="138" xfId="0" applyNumberFormat="1" applyFont="1" applyFill="1" applyBorder="1" applyAlignment="1">
      <alignment horizontal="center" vertical="center" wrapText="1"/>
    </xf>
    <xf numFmtId="193" fontId="1" fillId="0" borderId="139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0" fontId="1" fillId="0" borderId="141" xfId="0" applyNumberFormat="1" applyFont="1" applyFill="1" applyBorder="1" applyAlignment="1">
      <alignment horizontal="center" vertical="center" wrapText="1"/>
    </xf>
    <xf numFmtId="0" fontId="1" fillId="0" borderId="14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5" xfId="0" applyNumberFormat="1" applyFont="1" applyFill="1" applyBorder="1" applyAlignment="1">
      <alignment horizontal="center" vertical="center" wrapText="1"/>
    </xf>
    <xf numFmtId="0" fontId="1" fillId="0" borderId="126" xfId="0" applyNumberFormat="1" applyFont="1" applyFill="1" applyBorder="1" applyAlignment="1">
      <alignment horizontal="center" vertical="center" wrapText="1"/>
    </xf>
    <xf numFmtId="0" fontId="1" fillId="0" borderId="110" xfId="0" applyNumberFormat="1" applyFont="1" applyFill="1" applyBorder="1" applyAlignment="1">
      <alignment horizontal="center" vertical="center" wrapText="1"/>
    </xf>
    <xf numFmtId="0" fontId="1" fillId="0" borderId="130" xfId="0" applyNumberFormat="1" applyFont="1" applyFill="1" applyBorder="1" applyAlignment="1">
      <alignment horizontal="distributed" vertical="center" wrapText="1"/>
    </xf>
    <xf numFmtId="0" fontId="1" fillId="0" borderId="142" xfId="0" applyNumberFormat="1" applyFont="1" applyFill="1" applyBorder="1" applyAlignment="1">
      <alignment horizontal="distributed" vertical="center" wrapText="1"/>
    </xf>
    <xf numFmtId="0" fontId="1" fillId="0" borderId="125" xfId="0" applyNumberFormat="1" applyFont="1" applyFill="1" applyBorder="1" applyAlignment="1">
      <alignment horizontal="distributed" vertical="center" wrapText="1"/>
    </xf>
    <xf numFmtId="0" fontId="1" fillId="0" borderId="99" xfId="0" applyNumberFormat="1" applyFont="1" applyFill="1" applyBorder="1" applyAlignment="1">
      <alignment horizontal="distributed" vertical="center" wrapText="1"/>
    </xf>
    <xf numFmtId="193" fontId="1" fillId="0" borderId="143" xfId="0" applyNumberFormat="1" applyFont="1" applyFill="1" applyBorder="1" applyAlignment="1">
      <alignment horizontal="center" vertical="center"/>
    </xf>
    <xf numFmtId="193" fontId="1" fillId="0" borderId="144" xfId="0" applyNumberFormat="1" applyFont="1" applyFill="1" applyBorder="1" applyAlignment="1">
      <alignment horizontal="center" vertical="center"/>
    </xf>
    <xf numFmtId="0" fontId="1" fillId="0" borderId="135" xfId="0" applyNumberFormat="1" applyFont="1" applyFill="1" applyBorder="1" applyAlignment="1">
      <alignment horizontal="center" vertical="center"/>
    </xf>
    <xf numFmtId="0" fontId="1" fillId="0" borderId="140" xfId="0" applyNumberFormat="1" applyFont="1" applyFill="1" applyBorder="1" applyAlignment="1">
      <alignment horizontal="center" vertical="center"/>
    </xf>
    <xf numFmtId="194" fontId="1" fillId="0" borderId="6" xfId="0" applyNumberFormat="1" applyFont="1" applyFill="1" applyBorder="1" applyAlignment="1">
      <alignment horizontal="center" vertical="center"/>
    </xf>
    <xf numFmtId="194" fontId="1" fillId="0" borderId="93" xfId="0" applyNumberFormat="1" applyFont="1" applyFill="1" applyBorder="1" applyAlignment="1">
      <alignment horizontal="center" vertical="center"/>
    </xf>
    <xf numFmtId="0" fontId="1" fillId="0" borderId="145" xfId="0" applyNumberFormat="1" applyFont="1" applyFill="1" applyBorder="1" applyAlignment="1">
      <alignment horizontal="distributed" vertical="center"/>
    </xf>
    <xf numFmtId="0" fontId="1" fillId="0" borderId="144" xfId="0" applyNumberFormat="1" applyFont="1" applyFill="1" applyBorder="1" applyAlignment="1">
      <alignment horizontal="distributed" vertical="center"/>
    </xf>
    <xf numFmtId="208" fontId="1" fillId="0" borderId="139" xfId="0" applyNumberFormat="1" applyFont="1" applyFill="1" applyBorder="1" applyAlignment="1">
      <alignment vertical="center" shrinkToFit="1"/>
    </xf>
    <xf numFmtId="208" fontId="1" fillId="0" borderId="140" xfId="0" applyNumberFormat="1" applyFont="1" applyFill="1" applyBorder="1" applyAlignment="1">
      <alignment vertical="center" shrinkToFit="1"/>
    </xf>
    <xf numFmtId="208" fontId="1" fillId="0" borderId="143" xfId="0" applyNumberFormat="1" applyFont="1" applyFill="1" applyBorder="1" applyAlignment="1">
      <alignment vertical="center"/>
    </xf>
    <xf numFmtId="208" fontId="1" fillId="0" borderId="144" xfId="0" applyNumberFormat="1" applyFont="1" applyFill="1" applyBorder="1" applyAlignment="1">
      <alignment vertical="center"/>
    </xf>
    <xf numFmtId="0" fontId="1" fillId="0" borderId="135" xfId="0" applyNumberFormat="1" applyFont="1" applyFill="1" applyBorder="1" applyAlignment="1">
      <alignment horizontal="center" vertical="center" shrinkToFit="1"/>
    </xf>
    <xf numFmtId="0" fontId="1" fillId="0" borderId="140" xfId="0" applyNumberFormat="1" applyFont="1" applyFill="1" applyBorder="1" applyAlignment="1">
      <alignment horizontal="center" vertical="center" shrinkToFit="1"/>
    </xf>
    <xf numFmtId="181" fontId="1" fillId="0" borderId="6" xfId="0" applyNumberFormat="1" applyFont="1" applyFill="1" applyBorder="1" applyAlignment="1">
      <alignment horizontal="center" vertical="center"/>
    </xf>
    <xf numFmtId="181" fontId="1" fillId="0" borderId="93" xfId="0" applyNumberFormat="1" applyFont="1" applyFill="1" applyBorder="1" applyAlignment="1">
      <alignment horizontal="center" vertical="center"/>
    </xf>
    <xf numFmtId="194" fontId="1" fillId="0" borderId="3" xfId="0" applyNumberFormat="1" applyFont="1" applyFill="1" applyBorder="1" applyAlignment="1">
      <alignment horizontal="center" vertical="center"/>
    </xf>
    <xf numFmtId="194" fontId="1" fillId="0" borderId="133" xfId="0" applyNumberFormat="1" applyFont="1" applyFill="1" applyBorder="1" applyAlignment="1">
      <alignment horizontal="center" vertical="center"/>
    </xf>
    <xf numFmtId="0" fontId="1" fillId="0" borderId="98" xfId="0" applyNumberFormat="1" applyFont="1" applyFill="1" applyBorder="1" applyAlignment="1">
      <alignment horizontal="center" vertical="center" textRotation="255"/>
    </xf>
    <xf numFmtId="0" fontId="1" fillId="0" borderId="19" xfId="0" applyNumberFormat="1" applyFont="1" applyFill="1" applyBorder="1" applyAlignment="1">
      <alignment horizontal="center" vertical="center" textRotation="255"/>
    </xf>
    <xf numFmtId="0" fontId="1" fillId="0" borderId="146" xfId="0" applyNumberFormat="1" applyFont="1" applyFill="1" applyBorder="1" applyAlignment="1">
      <alignment horizontal="center" vertical="center" textRotation="255"/>
    </xf>
    <xf numFmtId="208" fontId="1" fillId="0" borderId="11" xfId="0" applyNumberFormat="1" applyFont="1" applyFill="1" applyBorder="1" applyAlignment="1">
      <alignment vertical="center"/>
    </xf>
    <xf numFmtId="208" fontId="1" fillId="0" borderId="12" xfId="0" applyNumberFormat="1" applyFont="1" applyFill="1" applyBorder="1" applyAlignment="1">
      <alignment vertical="center"/>
    </xf>
    <xf numFmtId="208" fontId="0" fillId="0" borderId="144" xfId="0" applyNumberFormat="1" applyFont="1" applyBorder="1" applyAlignment="1">
      <alignment/>
    </xf>
    <xf numFmtId="0" fontId="1" fillId="0" borderId="147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distributed" vertical="center"/>
    </xf>
    <xf numFmtId="0" fontId="0" fillId="0" borderId="138" xfId="0" applyFont="1" applyFill="1" applyBorder="1" applyAlignment="1">
      <alignment horizontal="distributed" vertical="center"/>
    </xf>
    <xf numFmtId="0" fontId="1" fillId="0" borderId="147" xfId="0" applyFont="1" applyFill="1" applyBorder="1" applyAlignment="1">
      <alignment horizontal="distributed" vertical="center"/>
    </xf>
    <xf numFmtId="0" fontId="1" fillId="0" borderId="149" xfId="0" applyFont="1" applyFill="1" applyBorder="1" applyAlignment="1">
      <alignment horizontal="distributed" vertical="center"/>
    </xf>
    <xf numFmtId="0" fontId="1" fillId="0" borderId="115" xfId="0" applyFont="1" applyFill="1" applyBorder="1" applyAlignment="1">
      <alignment horizontal="distributed" vertical="center"/>
    </xf>
    <xf numFmtId="0" fontId="1" fillId="0" borderId="149" xfId="0" applyFont="1" applyFill="1" applyBorder="1" applyAlignment="1">
      <alignment horizontal="distributed" vertical="center" wrapText="1"/>
    </xf>
    <xf numFmtId="0" fontId="1" fillId="0" borderId="115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133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133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9" fillId="0" borderId="149" xfId="0" applyNumberFormat="1" applyFont="1" applyFill="1" applyBorder="1" applyAlignment="1">
      <alignment vertical="center"/>
    </xf>
    <xf numFmtId="0" fontId="9" fillId="0" borderId="115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9" fontId="15" fillId="0" borderId="0" xfId="21" applyNumberFormat="1" applyFont="1" applyAlignment="1">
      <alignment horizontal="center" vertical="center" textRotation="180"/>
      <protection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3" fillId="0" borderId="12" xfId="21" applyFont="1" applyBorder="1" applyAlignment="1">
      <alignment horizontal="left" vertical="center" textRotation="180"/>
      <protection/>
    </xf>
    <xf numFmtId="49" fontId="16" fillId="0" borderId="0" xfId="0" applyNumberFormat="1" applyFont="1" applyAlignment="1">
      <alignment horizontal="center" vertical="center" textRotation="180"/>
    </xf>
    <xf numFmtId="0" fontId="1" fillId="0" borderId="149" xfId="24" applyFont="1" applyFill="1" applyBorder="1" applyAlignment="1">
      <alignment horizontal="center" vertical="center" wrapText="1"/>
      <protection/>
    </xf>
    <xf numFmtId="0" fontId="1" fillId="0" borderId="147" xfId="24" applyFont="1" applyFill="1" applyBorder="1" applyAlignment="1">
      <alignment horizontal="center" vertical="center" wrapText="1"/>
      <protection/>
    </xf>
    <xf numFmtId="0" fontId="19" fillId="0" borderId="150" xfId="0" applyFont="1" applyBorder="1" applyAlignment="1">
      <alignment horizontal="center" vertical="center"/>
    </xf>
    <xf numFmtId="0" fontId="19" fillId="0" borderId="15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33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19" fillId="0" borderId="152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left" vertical="center" textRotation="180"/>
    </xf>
    <xf numFmtId="0" fontId="19" fillId="0" borderId="154" xfId="0" applyFont="1" applyBorder="1" applyAlignment="1">
      <alignment horizontal="left" vertical="center" wrapText="1"/>
    </xf>
    <xf numFmtId="0" fontId="17" fillId="0" borderId="155" xfId="0" applyFont="1" applyBorder="1" applyAlignment="1">
      <alignment horizontal="left" vertical="center" wrapText="1"/>
    </xf>
    <xf numFmtId="0" fontId="19" fillId="0" borderId="156" xfId="0" applyFont="1" applyBorder="1" applyAlignment="1">
      <alignment horizontal="left" vertical="center" wrapText="1"/>
    </xf>
    <xf numFmtId="0" fontId="17" fillId="0" borderId="157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158" xfId="0" applyFont="1" applyBorder="1" applyAlignment="1">
      <alignment horizontal="left" vertical="center" wrapText="1"/>
    </xf>
    <xf numFmtId="0" fontId="19" fillId="0" borderId="154" xfId="0" applyFont="1" applyFill="1" applyBorder="1" applyAlignment="1">
      <alignment horizontal="left" vertical="center" wrapText="1"/>
    </xf>
    <xf numFmtId="0" fontId="17" fillId="0" borderId="155" xfId="0" applyFont="1" applyFill="1" applyBorder="1" applyAlignment="1">
      <alignment horizontal="left" vertical="center" wrapText="1"/>
    </xf>
    <xf numFmtId="0" fontId="17" fillId="0" borderId="157" xfId="0" applyFont="1" applyFill="1" applyBorder="1" applyAlignment="1">
      <alignment horizontal="left" vertical="center" wrapText="1"/>
    </xf>
    <xf numFmtId="49" fontId="13" fillId="0" borderId="0" xfId="21" applyNumberFormat="1" applyFont="1" applyAlignment="1">
      <alignment horizontal="center" vertical="center" textRotation="180"/>
      <protection/>
    </xf>
    <xf numFmtId="0" fontId="0" fillId="0" borderId="40" xfId="0" applyBorder="1" applyAlignment="1">
      <alignment horizontal="center" vertical="center"/>
    </xf>
    <xf numFmtId="0" fontId="14" fillId="0" borderId="12" xfId="21" applyFont="1" applyBorder="1" applyAlignment="1">
      <alignment horizontal="left" vertical="center" textRotation="180"/>
      <protection/>
    </xf>
    <xf numFmtId="0" fontId="12" fillId="0" borderId="33" xfId="0" applyFont="1" applyFill="1" applyBorder="1" applyAlignment="1" applyProtection="1">
      <alignment vertical="center" shrinkToFit="1"/>
      <protection locked="0"/>
    </xf>
    <xf numFmtId="0" fontId="0" fillId="0" borderId="35" xfId="0" applyBorder="1" applyAlignment="1">
      <alignment vertical="center" shrinkToFit="1"/>
    </xf>
    <xf numFmtId="0" fontId="7" fillId="0" borderId="12" xfId="22" applyFont="1" applyFill="1" applyBorder="1" applyAlignment="1">
      <alignment horizontal="left" vertical="center" textRotation="180"/>
      <protection/>
    </xf>
    <xf numFmtId="208" fontId="1" fillId="0" borderId="154" xfId="22" applyNumberFormat="1" applyFont="1" applyFill="1" applyBorder="1" applyAlignment="1">
      <alignment horizontal="right" vertical="center"/>
      <protection/>
    </xf>
    <xf numFmtId="208" fontId="1" fillId="0" borderId="155" xfId="22" applyNumberFormat="1" applyFont="1" applyFill="1" applyBorder="1" applyAlignment="1">
      <alignment horizontal="right" vertical="center"/>
      <protection/>
    </xf>
    <xf numFmtId="208" fontId="1" fillId="0" borderId="159" xfId="22" applyNumberFormat="1" applyFont="1" applyFill="1" applyBorder="1" applyAlignment="1">
      <alignment horizontal="right" vertical="center"/>
      <protection/>
    </xf>
    <xf numFmtId="208" fontId="1" fillId="0" borderId="25" xfId="22" applyNumberFormat="1" applyFont="1" applyFill="1" applyBorder="1" applyAlignment="1">
      <alignment horizontal="right" vertical="center"/>
      <protection/>
    </xf>
    <xf numFmtId="208" fontId="1" fillId="0" borderId="160" xfId="22" applyNumberFormat="1" applyFont="1" applyFill="1" applyBorder="1" applyAlignment="1">
      <alignment horizontal="right" vertical="center"/>
      <protection/>
    </xf>
    <xf numFmtId="208" fontId="1" fillId="0" borderId="22" xfId="22" applyNumberFormat="1" applyFont="1" applyFill="1" applyBorder="1" applyAlignment="1">
      <alignment horizontal="right" vertical="center"/>
      <protection/>
    </xf>
    <xf numFmtId="208" fontId="1" fillId="0" borderId="161" xfId="22" applyNumberFormat="1" applyFont="1" applyFill="1" applyBorder="1" applyAlignment="1">
      <alignment horizontal="right" vertical="center"/>
      <protection/>
    </xf>
    <xf numFmtId="208" fontId="1" fillId="0" borderId="15" xfId="22" applyNumberFormat="1" applyFont="1" applyFill="1" applyBorder="1" applyAlignment="1">
      <alignment horizontal="right" vertical="center"/>
      <protection/>
    </xf>
    <xf numFmtId="208" fontId="1" fillId="0" borderId="162" xfId="22" applyNumberFormat="1" applyFont="1" applyFill="1" applyBorder="1" applyAlignment="1">
      <alignment horizontal="right" vertical="center"/>
      <protection/>
    </xf>
    <xf numFmtId="208" fontId="1" fillId="0" borderId="154" xfId="22" applyNumberFormat="1" applyFont="1" applyFill="1" applyBorder="1" applyAlignment="1">
      <alignment vertical="center"/>
      <protection/>
    </xf>
    <xf numFmtId="208" fontId="1" fillId="0" borderId="155" xfId="22" applyNumberFormat="1" applyFont="1" applyFill="1" applyBorder="1" applyAlignment="1">
      <alignment vertical="center"/>
      <protection/>
    </xf>
    <xf numFmtId="208" fontId="1" fillId="0" borderId="159" xfId="22" applyNumberFormat="1" applyFont="1" applyFill="1" applyBorder="1" applyAlignment="1">
      <alignment vertical="center"/>
      <protection/>
    </xf>
    <xf numFmtId="208" fontId="1" fillId="0" borderId="163" xfId="22" applyNumberFormat="1" applyFont="1" applyFill="1" applyBorder="1" applyAlignment="1">
      <alignment horizontal="right" vertical="center"/>
      <protection/>
    </xf>
    <xf numFmtId="208" fontId="1" fillId="0" borderId="164" xfId="22" applyNumberFormat="1" applyFont="1" applyFill="1" applyBorder="1" applyAlignment="1">
      <alignment horizontal="right" vertical="center"/>
      <protection/>
    </xf>
    <xf numFmtId="208" fontId="1" fillId="0" borderId="165" xfId="22" applyNumberFormat="1" applyFont="1" applyFill="1" applyBorder="1" applyAlignment="1">
      <alignment horizontal="right" vertical="center"/>
      <protection/>
    </xf>
    <xf numFmtId="208" fontId="1" fillId="0" borderId="157" xfId="22" applyNumberFormat="1" applyFont="1" applyFill="1" applyBorder="1" applyAlignment="1">
      <alignment vertical="center"/>
      <protection/>
    </xf>
    <xf numFmtId="0" fontId="1" fillId="0" borderId="156" xfId="22" applyNumberFormat="1" applyFont="1" applyFill="1" applyBorder="1" applyAlignment="1">
      <alignment horizontal="distributed" vertical="center" wrapText="1"/>
      <protection/>
    </xf>
    <xf numFmtId="0" fontId="1" fillId="0" borderId="155" xfId="22" applyNumberFormat="1" applyFont="1" applyFill="1" applyBorder="1" applyAlignment="1">
      <alignment horizontal="distributed" vertical="center" wrapText="1"/>
      <protection/>
    </xf>
    <xf numFmtId="0" fontId="1" fillId="0" borderId="159" xfId="22" applyNumberFormat="1" applyFont="1" applyFill="1" applyBorder="1" applyAlignment="1">
      <alignment horizontal="distributed" vertical="center" wrapText="1"/>
      <protection/>
    </xf>
    <xf numFmtId="0" fontId="1" fillId="0" borderId="166" xfId="22" applyNumberFormat="1" applyFont="1" applyFill="1" applyBorder="1" applyAlignment="1">
      <alignment horizontal="distributed" vertical="center" wrapText="1"/>
      <protection/>
    </xf>
    <xf numFmtId="0" fontId="1" fillId="0" borderId="167" xfId="22" applyNumberFormat="1" applyFont="1" applyFill="1" applyBorder="1" applyAlignment="1">
      <alignment horizontal="distributed" vertical="center" wrapText="1"/>
      <protection/>
    </xf>
    <xf numFmtId="0" fontId="1" fillId="0" borderId="22" xfId="22" applyNumberFormat="1" applyFont="1" applyFill="1" applyBorder="1" applyAlignment="1">
      <alignment horizontal="distributed" vertical="center" wrapText="1"/>
      <protection/>
    </xf>
    <xf numFmtId="0" fontId="1" fillId="0" borderId="161" xfId="22" applyNumberFormat="1" applyFont="1" applyFill="1" applyBorder="1" applyAlignment="1">
      <alignment horizontal="distributed" vertical="center" wrapText="1"/>
      <protection/>
    </xf>
    <xf numFmtId="0" fontId="1" fillId="0" borderId="15" xfId="22" applyNumberFormat="1" applyFont="1" applyFill="1" applyBorder="1" applyAlignment="1">
      <alignment horizontal="distributed" vertical="center" wrapText="1"/>
      <protection/>
    </xf>
    <xf numFmtId="0" fontId="1" fillId="0" borderId="162" xfId="22" applyNumberFormat="1" applyFont="1" applyFill="1" applyBorder="1" applyAlignment="1">
      <alignment horizontal="distributed" vertical="center" wrapText="1"/>
      <protection/>
    </xf>
    <xf numFmtId="0" fontId="1" fillId="0" borderId="156" xfId="22" applyNumberFormat="1" applyFont="1" applyFill="1" applyBorder="1" applyAlignment="1">
      <alignment horizontal="center" vertical="center"/>
      <protection/>
    </xf>
    <xf numFmtId="0" fontId="1" fillId="0" borderId="155" xfId="22" applyNumberFormat="1" applyFont="1" applyFill="1" applyBorder="1" applyAlignment="1">
      <alignment horizontal="center" vertical="center"/>
      <protection/>
    </xf>
    <xf numFmtId="208" fontId="1" fillId="0" borderId="25" xfId="22" applyNumberFormat="1" applyFont="1" applyFill="1" applyBorder="1" applyAlignment="1">
      <alignment vertical="center"/>
      <protection/>
    </xf>
    <xf numFmtId="208" fontId="1" fillId="0" borderId="160" xfId="22" applyNumberFormat="1" applyFont="1" applyFill="1" applyBorder="1" applyAlignment="1">
      <alignment vertical="center"/>
      <protection/>
    </xf>
    <xf numFmtId="208" fontId="1" fillId="0" borderId="22" xfId="22" applyNumberFormat="1" applyFont="1" applyFill="1" applyBorder="1" applyAlignment="1">
      <alignment vertical="center"/>
      <protection/>
    </xf>
    <xf numFmtId="208" fontId="1" fillId="0" borderId="161" xfId="22" applyNumberFormat="1" applyFont="1" applyFill="1" applyBorder="1" applyAlignment="1">
      <alignment vertical="center"/>
      <protection/>
    </xf>
    <xf numFmtId="208" fontId="1" fillId="0" borderId="15" xfId="22" applyNumberFormat="1" applyFont="1" applyFill="1" applyBorder="1" applyAlignment="1">
      <alignment vertical="center"/>
      <protection/>
    </xf>
    <xf numFmtId="208" fontId="1" fillId="0" borderId="162" xfId="22" applyNumberFormat="1" applyFont="1" applyFill="1" applyBorder="1" applyAlignment="1">
      <alignment vertical="center"/>
      <protection/>
    </xf>
    <xf numFmtId="209" fontId="1" fillId="0" borderId="29" xfId="22" applyNumberFormat="1" applyFont="1" applyFill="1" applyBorder="1" applyAlignment="1">
      <alignment horizontal="right" vertical="center"/>
      <protection/>
    </xf>
    <xf numFmtId="209" fontId="1" fillId="0" borderId="28" xfId="22" applyNumberFormat="1" applyFont="1" applyFill="1" applyBorder="1" applyAlignment="1">
      <alignment horizontal="right" vertical="center"/>
      <protection/>
    </xf>
    <xf numFmtId="209" fontId="1" fillId="0" borderId="168" xfId="22" applyNumberFormat="1" applyFont="1" applyFill="1" applyBorder="1" applyAlignment="1">
      <alignment horizontal="right" vertical="center"/>
      <protection/>
    </xf>
    <xf numFmtId="0" fontId="1" fillId="0" borderId="169" xfId="22" applyNumberFormat="1" applyFont="1" applyFill="1" applyBorder="1" applyAlignment="1">
      <alignment horizontal="center" vertical="center"/>
      <protection/>
    </xf>
    <xf numFmtId="0" fontId="1" fillId="0" borderId="115" xfId="22" applyNumberFormat="1" applyFont="1" applyFill="1" applyBorder="1" applyAlignment="1">
      <alignment horizontal="center" vertical="center"/>
      <protection/>
    </xf>
    <xf numFmtId="0" fontId="1" fillId="0" borderId="147" xfId="22" applyNumberFormat="1" applyFont="1" applyFill="1" applyBorder="1" applyAlignment="1">
      <alignment horizontal="center" vertical="center"/>
      <protection/>
    </xf>
    <xf numFmtId="208" fontId="1" fillId="0" borderId="31" xfId="22" applyNumberFormat="1" applyFont="1" applyFill="1" applyBorder="1" applyAlignment="1">
      <alignment horizontal="right" vertical="center"/>
      <protection/>
    </xf>
    <xf numFmtId="208" fontId="1" fillId="0" borderId="32" xfId="22" applyNumberFormat="1" applyFont="1" applyFill="1" applyBorder="1" applyAlignment="1">
      <alignment horizontal="right" vertical="center"/>
      <protection/>
    </xf>
    <xf numFmtId="208" fontId="1" fillId="0" borderId="170" xfId="22" applyNumberFormat="1" applyFont="1" applyFill="1" applyBorder="1" applyAlignment="1">
      <alignment horizontal="right" vertical="center"/>
      <protection/>
    </xf>
    <xf numFmtId="209" fontId="1" fillId="0" borderId="171" xfId="22" applyNumberFormat="1" applyFont="1" applyFill="1" applyBorder="1" applyAlignment="1">
      <alignment horizontal="right" vertical="center"/>
      <protection/>
    </xf>
    <xf numFmtId="209" fontId="1" fillId="0" borderId="154" xfId="22" applyNumberFormat="1" applyFont="1" applyFill="1" applyBorder="1" applyAlignment="1">
      <alignment horizontal="right" vertical="center"/>
      <protection/>
    </xf>
    <xf numFmtId="209" fontId="1" fillId="0" borderId="155" xfId="22" applyNumberFormat="1" applyFont="1" applyFill="1" applyBorder="1" applyAlignment="1">
      <alignment horizontal="right" vertical="center"/>
      <protection/>
    </xf>
    <xf numFmtId="209" fontId="1" fillId="0" borderId="159" xfId="22" applyNumberFormat="1" applyFont="1" applyFill="1" applyBorder="1" applyAlignment="1">
      <alignment horizontal="right" vertical="center"/>
      <protection/>
    </xf>
    <xf numFmtId="209" fontId="1" fillId="0" borderId="157" xfId="22" applyNumberFormat="1" applyFont="1" applyFill="1" applyBorder="1" applyAlignment="1">
      <alignment horizontal="right" vertical="center"/>
      <protection/>
    </xf>
    <xf numFmtId="208" fontId="1" fillId="0" borderId="165" xfId="22" applyNumberFormat="1" applyFont="1" applyFill="1" applyBorder="1" applyAlignment="1">
      <alignment vertical="center"/>
      <protection/>
    </xf>
    <xf numFmtId="208" fontId="1" fillId="0" borderId="164" xfId="22" applyNumberFormat="1" applyFont="1" applyFill="1" applyBorder="1" applyAlignment="1">
      <alignment vertical="center"/>
      <protection/>
    </xf>
    <xf numFmtId="0" fontId="1" fillId="0" borderId="172" xfId="22" applyNumberFormat="1" applyFont="1" applyFill="1" applyBorder="1" applyAlignment="1">
      <alignment horizontal="center" vertical="center"/>
      <protection/>
    </xf>
    <xf numFmtId="208" fontId="1" fillId="0" borderId="6" xfId="22" applyNumberFormat="1" applyFont="1" applyFill="1" applyBorder="1" applyAlignment="1">
      <alignment horizontal="right" vertical="center"/>
      <protection/>
    </xf>
    <xf numFmtId="208" fontId="1" fillId="0" borderId="11" xfId="22" applyNumberFormat="1" applyFont="1" applyFill="1" applyBorder="1" applyAlignment="1">
      <alignment horizontal="right" vertical="center"/>
      <protection/>
    </xf>
    <xf numFmtId="208" fontId="1" fillId="0" borderId="173" xfId="22" applyNumberFormat="1" applyFont="1" applyFill="1" applyBorder="1" applyAlignment="1">
      <alignment horizontal="right" vertical="center"/>
      <protection/>
    </xf>
    <xf numFmtId="208" fontId="1" fillId="0" borderId="104" xfId="22" applyNumberFormat="1" applyFont="1" applyFill="1" applyBorder="1" applyAlignment="1">
      <alignment horizontal="right" vertical="center"/>
      <protection/>
    </xf>
    <xf numFmtId="208" fontId="1" fillId="0" borderId="174" xfId="22" applyNumberFormat="1" applyFont="1" applyFill="1" applyBorder="1" applyAlignment="1">
      <alignment horizontal="right" vertical="center"/>
      <protection/>
    </xf>
    <xf numFmtId="208" fontId="1" fillId="0" borderId="175" xfId="22" applyNumberFormat="1" applyFont="1" applyFill="1" applyBorder="1" applyAlignment="1">
      <alignment horizontal="right" vertical="center"/>
      <protection/>
    </xf>
    <xf numFmtId="209" fontId="1" fillId="0" borderId="156" xfId="22" applyNumberFormat="1" applyFont="1" applyFill="1" applyBorder="1" applyAlignment="1">
      <alignment horizontal="right" vertical="center"/>
      <protection/>
    </xf>
    <xf numFmtId="209" fontId="1" fillId="0" borderId="176" xfId="22" applyNumberFormat="1" applyFont="1" applyFill="1" applyBorder="1" applyAlignment="1">
      <alignment horizontal="right" vertical="center"/>
      <protection/>
    </xf>
    <xf numFmtId="0" fontId="1" fillId="0" borderId="166" xfId="22" applyNumberFormat="1" applyFont="1" applyFill="1" applyBorder="1" applyAlignment="1">
      <alignment horizontal="center" vertical="center"/>
      <protection/>
    </xf>
    <xf numFmtId="0" fontId="1" fillId="0" borderId="7" xfId="22" applyNumberFormat="1" applyFont="1" applyFill="1" applyBorder="1" applyAlignment="1">
      <alignment horizontal="center" vertical="center"/>
      <protection/>
    </xf>
    <xf numFmtId="0" fontId="1" fillId="0" borderId="133" xfId="22" applyNumberFormat="1" applyFont="1" applyFill="1" applyBorder="1" applyAlignment="1">
      <alignment horizontal="center" vertical="center"/>
      <protection/>
    </xf>
    <xf numFmtId="0" fontId="1" fillId="0" borderId="165" xfId="22" applyNumberFormat="1" applyFont="1" applyFill="1" applyBorder="1" applyAlignment="1">
      <alignment horizontal="center" vertical="center"/>
      <protection/>
    </xf>
    <xf numFmtId="0" fontId="1" fillId="0" borderId="177" xfId="22" applyNumberFormat="1" applyFont="1" applyFill="1" applyBorder="1" applyAlignment="1">
      <alignment horizontal="center" vertical="center"/>
      <protection/>
    </xf>
    <xf numFmtId="0" fontId="1" fillId="0" borderId="178" xfId="22" applyNumberFormat="1" applyFont="1" applyFill="1" applyBorder="1" applyAlignment="1">
      <alignment horizontal="center" vertical="center"/>
      <protection/>
    </xf>
    <xf numFmtId="0" fontId="1" fillId="0" borderId="149" xfId="22" applyNumberFormat="1" applyFont="1" applyFill="1" applyBorder="1" applyAlignment="1">
      <alignment horizontal="center" vertical="center"/>
      <protection/>
    </xf>
    <xf numFmtId="208" fontId="1" fillId="0" borderId="3" xfId="22" applyNumberFormat="1" applyFont="1" applyFill="1" applyBorder="1" applyAlignment="1">
      <alignment horizontal="right" vertical="center"/>
      <protection/>
    </xf>
    <xf numFmtId="208" fontId="1" fillId="0" borderId="99" xfId="22" applyNumberFormat="1" applyFont="1" applyFill="1" applyBorder="1" applyAlignment="1">
      <alignment horizontal="right" vertical="center"/>
      <protection/>
    </xf>
    <xf numFmtId="208" fontId="1" fillId="0" borderId="167" xfId="22" applyNumberFormat="1" applyFont="1" applyFill="1" applyBorder="1" applyAlignment="1">
      <alignment horizontal="right" vertical="center"/>
      <protection/>
    </xf>
    <xf numFmtId="208" fontId="1" fillId="0" borderId="156" xfId="22" applyNumberFormat="1" applyFont="1" applyFill="1" applyBorder="1" applyAlignment="1">
      <alignment vertical="center"/>
      <protection/>
    </xf>
    <xf numFmtId="0" fontId="1" fillId="0" borderId="179" xfId="22" applyNumberFormat="1" applyFont="1" applyFill="1" applyBorder="1" applyAlignment="1">
      <alignment horizontal="distributed" vertical="center" wrapText="1"/>
      <protection/>
    </xf>
    <xf numFmtId="0" fontId="1" fillId="0" borderId="32" xfId="22" applyNumberFormat="1" applyFont="1" applyFill="1" applyBorder="1" applyAlignment="1">
      <alignment horizontal="distributed" vertical="center" wrapText="1"/>
      <protection/>
    </xf>
    <xf numFmtId="0" fontId="1" fillId="0" borderId="170" xfId="22" applyNumberFormat="1" applyFont="1" applyFill="1" applyBorder="1" applyAlignment="1">
      <alignment horizontal="distributed" vertical="center" wrapText="1"/>
      <protection/>
    </xf>
    <xf numFmtId="0" fontId="1" fillId="0" borderId="27" xfId="22" applyNumberFormat="1" applyFont="1" applyFill="1" applyBorder="1" applyAlignment="1">
      <alignment horizontal="center" vertical="center"/>
      <protection/>
    </xf>
    <xf numFmtId="0" fontId="1" fillId="0" borderId="55" xfId="22" applyNumberFormat="1" applyFont="1" applyFill="1" applyBorder="1" applyAlignment="1">
      <alignment horizontal="center" vertical="center"/>
      <protection/>
    </xf>
    <xf numFmtId="0" fontId="1" fillId="0" borderId="180" xfId="22" applyNumberFormat="1" applyFont="1" applyFill="1" applyBorder="1" applyAlignment="1">
      <alignment horizontal="center" vertical="center"/>
      <protection/>
    </xf>
    <xf numFmtId="0" fontId="1" fillId="0" borderId="181" xfId="22" applyNumberFormat="1" applyFont="1" applyFill="1" applyBorder="1" applyAlignment="1">
      <alignment horizontal="center" vertical="center"/>
      <protection/>
    </xf>
    <xf numFmtId="0" fontId="1" fillId="0" borderId="93" xfId="22" applyNumberFormat="1" applyFont="1" applyFill="1" applyBorder="1" applyAlignment="1">
      <alignment horizontal="center" vertical="center"/>
      <protection/>
    </xf>
    <xf numFmtId="0" fontId="1" fillId="0" borderId="4" xfId="22" applyNumberFormat="1" applyFont="1" applyFill="1" applyBorder="1" applyAlignment="1">
      <alignment horizontal="center" vertical="center"/>
      <protection/>
    </xf>
    <xf numFmtId="0" fontId="1" fillId="0" borderId="0" xfId="22" applyNumberFormat="1" applyFont="1" applyFill="1" applyBorder="1" applyAlignment="1">
      <alignment horizontal="center" vertical="center"/>
      <protection/>
    </xf>
    <xf numFmtId="0" fontId="1" fillId="0" borderId="12" xfId="22" applyNumberFormat="1" applyFont="1" applyFill="1" applyBorder="1" applyAlignment="1">
      <alignment horizontal="center" vertical="center"/>
      <protection/>
    </xf>
    <xf numFmtId="0" fontId="1" fillId="0" borderId="182" xfId="22" applyNumberFormat="1" applyFont="1" applyFill="1" applyBorder="1" applyAlignment="1">
      <alignment vertical="center" shrinkToFit="1"/>
      <protection/>
    </xf>
    <xf numFmtId="0" fontId="0" fillId="0" borderId="183" xfId="0" applyBorder="1" applyAlignment="1">
      <alignment vertical="center" shrinkToFit="1"/>
    </xf>
    <xf numFmtId="0" fontId="25" fillId="0" borderId="182" xfId="22" applyNumberFormat="1" applyFont="1" applyFill="1" applyBorder="1" applyAlignment="1">
      <alignment vertical="center" shrinkToFit="1"/>
      <protection/>
    </xf>
    <xf numFmtId="0" fontId="25" fillId="0" borderId="183" xfId="22" applyNumberFormat="1" applyFont="1" applyFill="1" applyBorder="1" applyAlignment="1">
      <alignment vertical="center" shrinkToFit="1"/>
      <protection/>
    </xf>
    <xf numFmtId="0" fontId="1" fillId="0" borderId="23" xfId="22" applyNumberFormat="1" applyFont="1" applyFill="1" applyBorder="1" applyAlignment="1">
      <alignment vertical="center" shrinkToFit="1"/>
      <protection/>
    </xf>
    <xf numFmtId="0" fontId="0" fillId="0" borderId="92" xfId="0" applyBorder="1" applyAlignment="1">
      <alignment vertical="center" shrinkToFit="1"/>
    </xf>
    <xf numFmtId="49" fontId="7" fillId="0" borderId="0" xfId="22" applyNumberFormat="1" applyFont="1" applyFill="1" applyAlignment="1">
      <alignment horizontal="center" vertical="center" textRotation="180"/>
      <protection/>
    </xf>
    <xf numFmtId="49" fontId="7" fillId="0" borderId="0" xfId="0" applyNumberFormat="1" applyFont="1" applyFill="1" applyAlignment="1">
      <alignment horizontal="center" vertical="center" textRotation="180"/>
    </xf>
    <xf numFmtId="0" fontId="1" fillId="0" borderId="98" xfId="22" applyNumberFormat="1" applyFont="1" applyFill="1" applyBorder="1" applyAlignment="1">
      <alignment horizontal="center" vertical="center"/>
      <protection/>
    </xf>
    <xf numFmtId="0" fontId="1" fillId="0" borderId="99" xfId="22" applyNumberFormat="1" applyFont="1" applyFill="1" applyBorder="1" applyAlignment="1">
      <alignment horizontal="center" vertical="center"/>
      <protection/>
    </xf>
    <xf numFmtId="0" fontId="1" fillId="0" borderId="109" xfId="22" applyNumberFormat="1" applyFont="1" applyFill="1" applyBorder="1" applyAlignment="1">
      <alignment horizontal="center" vertical="center"/>
      <protection/>
    </xf>
    <xf numFmtId="0" fontId="1" fillId="0" borderId="141" xfId="22" applyNumberFormat="1" applyFont="1" applyFill="1" applyBorder="1" applyAlignment="1">
      <alignment horizontal="center" vertical="center"/>
      <protection/>
    </xf>
    <xf numFmtId="0" fontId="1" fillId="0" borderId="142" xfId="22" applyNumberFormat="1" applyFont="1" applyFill="1" applyBorder="1" applyAlignment="1">
      <alignment horizontal="center" vertical="center"/>
      <protection/>
    </xf>
    <xf numFmtId="0" fontId="1" fillId="0" borderId="2" xfId="22" applyNumberFormat="1" applyFont="1" applyFill="1" applyBorder="1" applyAlignment="1">
      <alignment horizontal="center" vertical="center"/>
      <protection/>
    </xf>
    <xf numFmtId="0" fontId="1" fillId="0" borderId="100" xfId="22" applyNumberFormat="1" applyFont="1" applyFill="1" applyBorder="1" applyAlignment="1">
      <alignment horizontal="center" vertical="center"/>
      <protection/>
    </xf>
    <xf numFmtId="0" fontId="1" fillId="0" borderId="101" xfId="22" applyNumberFormat="1" applyFont="1" applyFill="1" applyBorder="1" applyAlignment="1">
      <alignment horizontal="center" vertical="center"/>
      <protection/>
    </xf>
    <xf numFmtId="0" fontId="1" fillId="0" borderId="5" xfId="22" applyNumberFormat="1" applyFont="1" applyFill="1" applyBorder="1" applyAlignment="1">
      <alignment horizontal="center" vertical="center"/>
      <protection/>
    </xf>
    <xf numFmtId="0" fontId="1" fillId="0" borderId="18" xfId="22" applyNumberFormat="1" applyFont="1" applyFill="1" applyBorder="1" applyAlignment="1">
      <alignment horizontal="left" vertical="center"/>
      <protection/>
    </xf>
    <xf numFmtId="0" fontId="1" fillId="0" borderId="104" xfId="22" applyNumberFormat="1" applyFont="1" applyFill="1" applyBorder="1" applyAlignment="1">
      <alignment horizontal="left" vertical="center"/>
      <protection/>
    </xf>
    <xf numFmtId="0" fontId="1" fillId="0" borderId="184" xfId="22" applyNumberFormat="1" applyFont="1" applyFill="1" applyBorder="1" applyAlignment="1">
      <alignment horizontal="left" vertical="center"/>
      <protection/>
    </xf>
    <xf numFmtId="0" fontId="1" fillId="0" borderId="131" xfId="22" applyNumberFormat="1" applyFont="1" applyFill="1" applyBorder="1" applyAlignment="1">
      <alignment horizontal="center" vertical="center"/>
      <protection/>
    </xf>
    <xf numFmtId="0" fontId="1" fillId="0" borderId="128" xfId="22" applyNumberFormat="1" applyFont="1" applyFill="1" applyBorder="1" applyAlignment="1">
      <alignment horizontal="center" vertical="center"/>
      <protection/>
    </xf>
    <xf numFmtId="0" fontId="1" fillId="0" borderId="124" xfId="22" applyNumberFormat="1" applyFont="1" applyFill="1" applyBorder="1" applyAlignment="1">
      <alignment horizontal="center" vertical="center"/>
      <protection/>
    </xf>
    <xf numFmtId="20" fontId="1" fillId="0" borderId="185" xfId="20" applyNumberFormat="1" applyFont="1" applyBorder="1" applyAlignment="1">
      <alignment horizontal="center"/>
      <protection/>
    </xf>
    <xf numFmtId="20" fontId="1" fillId="6" borderId="185" xfId="20" applyNumberFormat="1" applyFont="1" applyFill="1" applyBorder="1" applyAlignment="1">
      <alignment horizontal="center"/>
      <protection/>
    </xf>
    <xf numFmtId="20" fontId="1" fillId="0" borderId="185" xfId="20" applyNumberFormat="1" applyFont="1" applyFill="1" applyBorder="1" applyAlignment="1">
      <alignment horizontal="center"/>
      <protection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8決算収支の状況" xfId="20"/>
    <cellStyle name="標準_歳入、性質歳出、目的歳出" xfId="21"/>
    <cellStyle name="標準_第７、８表、付表　地方債、債務負担" xfId="22"/>
    <cellStyle name="標準_帳票61_03(1)" xfId="23"/>
    <cellStyle name="標準_普通会計10ページ（市町村税の状況）最新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7</xdr:row>
      <xdr:rowOff>0</xdr:rowOff>
    </xdr:from>
    <xdr:to>
      <xdr:col>17</xdr:col>
      <xdr:colOff>762000</xdr:colOff>
      <xdr:row>19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17411700" y="1828800"/>
          <a:ext cx="0" cy="3086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</xdr:row>
      <xdr:rowOff>114300</xdr:rowOff>
    </xdr:from>
    <xdr:to>
      <xdr:col>8</xdr:col>
      <xdr:colOff>295275</xdr:colOff>
      <xdr:row>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438650" y="457200"/>
          <a:ext cx="21717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３３表の串刺しデータの列を並び替えし、各行の（１）列及び（９）列の合計の数値を行列を入れ替えて縦に貼り付けした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view="pageBreakPreview" zoomScale="75" zoomScaleNormal="75" zoomScaleSheetLayoutView="75" workbookViewId="0" topLeftCell="A1">
      <selection activeCell="D41" sqref="A41:IV43"/>
    </sheetView>
  </sheetViews>
  <sheetFormatPr defaultColWidth="9.00390625" defaultRowHeight="13.5"/>
  <cols>
    <col min="1" max="1" width="4.875" style="7" customWidth="1"/>
    <col min="2" max="2" width="2.75390625" style="7" customWidth="1"/>
    <col min="3" max="3" width="5.125" style="7" customWidth="1"/>
    <col min="4" max="4" width="4.625" style="7" customWidth="1"/>
    <col min="5" max="5" width="9.625" style="7" customWidth="1"/>
    <col min="6" max="6" width="2.50390625" style="7" customWidth="1"/>
    <col min="7" max="7" width="11.125" style="7" customWidth="1"/>
    <col min="8" max="8" width="2.50390625" style="7" customWidth="1"/>
    <col min="9" max="9" width="11.125" style="7" customWidth="1"/>
    <col min="10" max="10" width="2.50390625" style="7" customWidth="1"/>
    <col min="11" max="11" width="10.625" style="7" customWidth="1"/>
    <col min="12" max="12" width="2.50390625" style="7" customWidth="1"/>
    <col min="13" max="13" width="10.625" style="7" customWidth="1"/>
    <col min="14" max="14" width="2.50390625" style="7" customWidth="1"/>
    <col min="15" max="15" width="10.625" style="7" customWidth="1"/>
    <col min="16" max="16" width="2.50390625" style="7" customWidth="1"/>
    <col min="17" max="17" width="10.625" style="7" customWidth="1"/>
    <col min="18" max="18" width="2.50390625" style="7" customWidth="1"/>
    <col min="19" max="19" width="10.75390625" style="7" customWidth="1"/>
    <col min="20" max="20" width="2.50390625" style="7" customWidth="1"/>
    <col min="21" max="21" width="10.75390625" style="7" customWidth="1"/>
    <col min="22" max="22" width="2.50390625" style="7" customWidth="1"/>
    <col min="23" max="23" width="10.75390625" style="7" customWidth="1"/>
    <col min="24" max="24" width="2.50390625" style="7" customWidth="1"/>
    <col min="25" max="25" width="10.75390625" style="7" customWidth="1"/>
    <col min="26" max="26" width="2.50390625" style="7" customWidth="1"/>
    <col min="27" max="27" width="10.625" style="7" customWidth="1"/>
    <col min="28" max="16384" width="9.00390625" style="7" customWidth="1"/>
  </cols>
  <sheetData>
    <row r="1" spans="1:3" ht="18.75">
      <c r="A1" s="403" t="s">
        <v>199</v>
      </c>
      <c r="B1" s="81"/>
      <c r="C1" s="6" t="s">
        <v>138</v>
      </c>
    </row>
    <row r="2" spans="1:25" ht="18.75" customHeight="1" thickBot="1">
      <c r="A2" s="403"/>
      <c r="B2" s="81"/>
      <c r="Y2" s="20" t="s">
        <v>139</v>
      </c>
    </row>
    <row r="3" spans="1:25" s="8" customFormat="1" ht="21" customHeight="1">
      <c r="A3" s="403"/>
      <c r="B3" s="81"/>
      <c r="C3" s="485"/>
      <c r="D3" s="486"/>
      <c r="E3" s="486"/>
      <c r="F3" s="471" t="s">
        <v>0</v>
      </c>
      <c r="G3" s="471"/>
      <c r="H3" s="471" t="s">
        <v>1</v>
      </c>
      <c r="I3" s="471"/>
      <c r="J3" s="473" t="s">
        <v>140</v>
      </c>
      <c r="K3" s="473"/>
      <c r="L3" s="479" t="s">
        <v>134</v>
      </c>
      <c r="M3" s="480"/>
      <c r="N3" s="473" t="s">
        <v>108</v>
      </c>
      <c r="O3" s="483"/>
      <c r="P3" s="471" t="s">
        <v>2</v>
      </c>
      <c r="Q3" s="471"/>
      <c r="R3" s="471" t="s">
        <v>3</v>
      </c>
      <c r="S3" s="471"/>
      <c r="T3" s="471" t="s">
        <v>4</v>
      </c>
      <c r="U3" s="471"/>
      <c r="V3" s="473" t="s">
        <v>109</v>
      </c>
      <c r="W3" s="473"/>
      <c r="X3" s="475" t="s">
        <v>141</v>
      </c>
      <c r="Y3" s="476"/>
    </row>
    <row r="4" spans="1:25" s="8" customFormat="1" ht="21" customHeight="1">
      <c r="A4" s="403"/>
      <c r="B4" s="81"/>
      <c r="C4" s="487"/>
      <c r="D4" s="488"/>
      <c r="E4" s="488"/>
      <c r="F4" s="472"/>
      <c r="G4" s="472"/>
      <c r="H4" s="472"/>
      <c r="I4" s="472"/>
      <c r="J4" s="474"/>
      <c r="K4" s="474"/>
      <c r="L4" s="481"/>
      <c r="M4" s="482"/>
      <c r="N4" s="484"/>
      <c r="O4" s="484"/>
      <c r="P4" s="472"/>
      <c r="Q4" s="472"/>
      <c r="R4" s="472"/>
      <c r="S4" s="472"/>
      <c r="T4" s="472"/>
      <c r="U4" s="472"/>
      <c r="V4" s="474"/>
      <c r="W4" s="474"/>
      <c r="X4" s="477"/>
      <c r="Y4" s="478"/>
    </row>
    <row r="5" spans="1:25" s="8" customFormat="1" ht="21" customHeight="1" thickBot="1">
      <c r="A5" s="403"/>
      <c r="B5" s="81"/>
      <c r="C5" s="487"/>
      <c r="D5" s="488"/>
      <c r="E5" s="488"/>
      <c r="F5" s="470" t="s">
        <v>5</v>
      </c>
      <c r="G5" s="470"/>
      <c r="H5" s="470" t="s">
        <v>6</v>
      </c>
      <c r="I5" s="470"/>
      <c r="J5" s="467" t="s">
        <v>110</v>
      </c>
      <c r="K5" s="467"/>
      <c r="L5" s="468" t="s">
        <v>111</v>
      </c>
      <c r="M5" s="469"/>
      <c r="N5" s="467" t="s">
        <v>112</v>
      </c>
      <c r="O5" s="467"/>
      <c r="P5" s="467" t="s">
        <v>7</v>
      </c>
      <c r="Q5" s="467"/>
      <c r="R5" s="470" t="s">
        <v>8</v>
      </c>
      <c r="S5" s="470"/>
      <c r="T5" s="467" t="s">
        <v>9</v>
      </c>
      <c r="U5" s="467"/>
      <c r="V5" s="467" t="s">
        <v>10</v>
      </c>
      <c r="W5" s="467"/>
      <c r="X5" s="467" t="s">
        <v>113</v>
      </c>
      <c r="Y5" s="467"/>
    </row>
    <row r="6" spans="1:25" ht="19.5" customHeight="1">
      <c r="A6" s="403"/>
      <c r="B6" s="81"/>
      <c r="C6" s="461" t="s">
        <v>142</v>
      </c>
      <c r="D6" s="9"/>
      <c r="E6" s="10" t="s">
        <v>143</v>
      </c>
      <c r="F6" s="11"/>
      <c r="G6" s="46">
        <f>(F7-F9)/F9*100</f>
        <v>2.450341380674596</v>
      </c>
      <c r="H6" s="47"/>
      <c r="I6" s="46">
        <f>(H7-H9)/H9*100</f>
        <v>2.734886885820188</v>
      </c>
      <c r="J6" s="459"/>
      <c r="K6" s="460"/>
      <c r="L6" s="459"/>
      <c r="M6" s="460"/>
      <c r="N6" s="459"/>
      <c r="O6" s="460"/>
      <c r="P6" s="459"/>
      <c r="Q6" s="460"/>
      <c r="R6" s="459"/>
      <c r="S6" s="460"/>
      <c r="T6" s="459"/>
      <c r="U6" s="460"/>
      <c r="V6" s="459"/>
      <c r="W6" s="460"/>
      <c r="X6" s="459"/>
      <c r="Y6" s="460"/>
    </row>
    <row r="7" spans="1:25" ht="19.5" customHeight="1">
      <c r="A7" s="403"/>
      <c r="B7" s="81"/>
      <c r="C7" s="462"/>
      <c r="D7" s="449" t="s">
        <v>432</v>
      </c>
      <c r="E7" s="450"/>
      <c r="F7" s="453">
        <f>'1表 参考資料(1)'!B18</f>
        <v>567826999</v>
      </c>
      <c r="G7" s="454"/>
      <c r="H7" s="453">
        <f>'1表 参考資料(1)'!C18</f>
        <v>552214216</v>
      </c>
      <c r="I7" s="454"/>
      <c r="J7" s="453">
        <f>F7-H7</f>
        <v>15612783</v>
      </c>
      <c r="K7" s="466"/>
      <c r="L7" s="453">
        <f>'1表 参考資料(1)'!K18</f>
        <v>1943706</v>
      </c>
      <c r="M7" s="454"/>
      <c r="N7" s="464">
        <f>J7-L7</f>
        <v>13669077</v>
      </c>
      <c r="O7" s="465"/>
      <c r="P7" s="453">
        <f>'1表 参考資料(1)'!M18</f>
        <v>-1505873</v>
      </c>
      <c r="Q7" s="454"/>
      <c r="R7" s="453">
        <f>'1表 参考資料(1)'!N18</f>
        <v>7739886</v>
      </c>
      <c r="S7" s="454"/>
      <c r="T7" s="453">
        <f>'1表 参考資料(1)'!O18</f>
        <v>876253</v>
      </c>
      <c r="U7" s="454"/>
      <c r="V7" s="453">
        <f>'1表 参考資料(1)'!P18</f>
        <v>12666218</v>
      </c>
      <c r="W7" s="454"/>
      <c r="X7" s="464">
        <f>P7+R7+T7-V7</f>
        <v>-5555952</v>
      </c>
      <c r="Y7" s="465"/>
    </row>
    <row r="8" spans="1:25" ht="19.5" customHeight="1">
      <c r="A8" s="403"/>
      <c r="B8" s="81"/>
      <c r="C8" s="462"/>
      <c r="D8" s="14"/>
      <c r="E8" s="15" t="s">
        <v>143</v>
      </c>
      <c r="F8" s="16"/>
      <c r="G8" s="48">
        <f>(F9-'1表 参考資料(1)'!F18)/'1表 参考資料(1)'!F18*100</f>
        <v>-1.949563928192104</v>
      </c>
      <c r="H8" s="49"/>
      <c r="I8" s="48">
        <f>(H9-'1表 参考資料(1)'!G18)/'1表 参考資料(1)'!G18*100</f>
        <v>-1.734307221552946</v>
      </c>
      <c r="J8" s="447"/>
      <c r="K8" s="448"/>
      <c r="L8" s="447"/>
      <c r="M8" s="448"/>
      <c r="N8" s="447"/>
      <c r="O8" s="448"/>
      <c r="P8" s="447"/>
      <c r="Q8" s="448"/>
      <c r="R8" s="447"/>
      <c r="S8" s="448"/>
      <c r="T8" s="447"/>
      <c r="U8" s="448"/>
      <c r="V8" s="447"/>
      <c r="W8" s="448"/>
      <c r="X8" s="447"/>
      <c r="Y8" s="448"/>
    </row>
    <row r="9" spans="1:25" ht="19.5" customHeight="1">
      <c r="A9" s="403"/>
      <c r="B9" s="81"/>
      <c r="C9" s="462"/>
      <c r="D9" s="449" t="s">
        <v>285</v>
      </c>
      <c r="E9" s="450"/>
      <c r="F9" s="453">
        <v>554246078</v>
      </c>
      <c r="G9" s="454"/>
      <c r="H9" s="453">
        <v>537513821</v>
      </c>
      <c r="I9" s="454"/>
      <c r="J9" s="453">
        <f>F9-H9</f>
        <v>16732257</v>
      </c>
      <c r="K9" s="466"/>
      <c r="L9" s="453">
        <v>1567066</v>
      </c>
      <c r="M9" s="454"/>
      <c r="N9" s="464">
        <f>J9-L9</f>
        <v>15165191</v>
      </c>
      <c r="O9" s="465"/>
      <c r="P9" s="453">
        <v>439811</v>
      </c>
      <c r="Q9" s="454"/>
      <c r="R9" s="453">
        <v>6375889</v>
      </c>
      <c r="S9" s="454"/>
      <c r="T9" s="453">
        <v>558410</v>
      </c>
      <c r="U9" s="454"/>
      <c r="V9" s="453">
        <v>11798212</v>
      </c>
      <c r="W9" s="454"/>
      <c r="X9" s="464">
        <f>P9+R9+T9-V9</f>
        <v>-4424102</v>
      </c>
      <c r="Y9" s="465"/>
    </row>
    <row r="10" spans="1:25" s="42" customFormat="1" ht="19.5" customHeight="1" thickBot="1">
      <c r="A10" s="403"/>
      <c r="B10" s="82"/>
      <c r="C10" s="462"/>
      <c r="D10" s="455" t="s">
        <v>144</v>
      </c>
      <c r="E10" s="456"/>
      <c r="F10" s="451">
        <f>F7-F9</f>
        <v>13580921</v>
      </c>
      <c r="G10" s="452"/>
      <c r="H10" s="451">
        <f>H7-H9</f>
        <v>14700395</v>
      </c>
      <c r="I10" s="452"/>
      <c r="J10" s="451">
        <f>J7-J9</f>
        <v>-1119474</v>
      </c>
      <c r="K10" s="452"/>
      <c r="L10" s="451">
        <f>L7-L9</f>
        <v>376640</v>
      </c>
      <c r="M10" s="452"/>
      <c r="N10" s="451">
        <f>N7-N9</f>
        <v>-1496114</v>
      </c>
      <c r="O10" s="452"/>
      <c r="P10" s="451">
        <f>P7-P9</f>
        <v>-1945684</v>
      </c>
      <c r="Q10" s="452"/>
      <c r="R10" s="451">
        <f>R7-R9</f>
        <v>1363997</v>
      </c>
      <c r="S10" s="452"/>
      <c r="T10" s="451">
        <f>T7-T9</f>
        <v>317843</v>
      </c>
      <c r="U10" s="452"/>
      <c r="V10" s="451">
        <f>V7-V9</f>
        <v>868006</v>
      </c>
      <c r="W10" s="452"/>
      <c r="X10" s="451">
        <f>X7-X9</f>
        <v>-1131850</v>
      </c>
      <c r="Y10" s="452"/>
    </row>
    <row r="11" spans="1:25" ht="21" customHeight="1" hidden="1" thickBot="1">
      <c r="A11" s="403"/>
      <c r="B11" s="81"/>
      <c r="C11" s="462"/>
      <c r="D11" s="14"/>
      <c r="E11" s="15" t="s">
        <v>143</v>
      </c>
      <c r="F11" s="11"/>
      <c r="G11" s="12">
        <v>-0.7</v>
      </c>
      <c r="H11" s="13"/>
      <c r="I11" s="12">
        <v>-0.5</v>
      </c>
      <c r="J11" s="459"/>
      <c r="K11" s="460"/>
      <c r="L11" s="459"/>
      <c r="M11" s="460"/>
      <c r="N11" s="459"/>
      <c r="O11" s="460"/>
      <c r="P11" s="459"/>
      <c r="Q11" s="460"/>
      <c r="R11" s="459"/>
      <c r="S11" s="460"/>
      <c r="T11" s="459"/>
      <c r="U11" s="460"/>
      <c r="V11" s="459"/>
      <c r="W11" s="460"/>
      <c r="X11" s="459"/>
      <c r="Y11" s="460"/>
    </row>
    <row r="12" spans="1:25" ht="20.25" customHeight="1" hidden="1" thickBot="1">
      <c r="A12" s="403"/>
      <c r="B12" s="81"/>
      <c r="C12" s="462"/>
      <c r="D12" s="449" t="s">
        <v>145</v>
      </c>
      <c r="E12" s="450"/>
      <c r="F12" s="443">
        <v>505747182</v>
      </c>
      <c r="G12" s="444"/>
      <c r="H12" s="443">
        <v>487883023</v>
      </c>
      <c r="I12" s="444"/>
      <c r="J12" s="443">
        <f>F12-H12</f>
        <v>17864159</v>
      </c>
      <c r="K12" s="444"/>
      <c r="L12" s="443">
        <v>2768099</v>
      </c>
      <c r="M12" s="444"/>
      <c r="N12" s="443">
        <f>+J12-L12</f>
        <v>15096060</v>
      </c>
      <c r="O12" s="444"/>
      <c r="P12" s="443">
        <v>4022499</v>
      </c>
      <c r="Q12" s="444"/>
      <c r="R12" s="443">
        <v>7633568</v>
      </c>
      <c r="S12" s="444"/>
      <c r="T12" s="443">
        <v>2334209</v>
      </c>
      <c r="U12" s="444"/>
      <c r="V12" s="443">
        <v>1089331</v>
      </c>
      <c r="W12" s="444"/>
      <c r="X12" s="443">
        <f>P12+R12+T12-V12</f>
        <v>12900945</v>
      </c>
      <c r="Y12" s="444"/>
    </row>
    <row r="13" spans="1:25" ht="20.25" customHeight="1" hidden="1" thickBot="1">
      <c r="A13" s="403"/>
      <c r="B13" s="81"/>
      <c r="C13" s="463"/>
      <c r="D13" s="445" t="s">
        <v>144</v>
      </c>
      <c r="E13" s="446"/>
      <c r="F13" s="431">
        <f>F9-F12</f>
        <v>48498896</v>
      </c>
      <c r="G13" s="432"/>
      <c r="H13" s="431">
        <f>H9-H12</f>
        <v>49630798</v>
      </c>
      <c r="I13" s="432"/>
      <c r="J13" s="431">
        <f>+J9-J12</f>
        <v>-1131902</v>
      </c>
      <c r="K13" s="432"/>
      <c r="L13" s="431">
        <f>+L9-L12</f>
        <v>-1201033</v>
      </c>
      <c r="M13" s="432"/>
      <c r="N13" s="431">
        <f>+N9-N12</f>
        <v>69131</v>
      </c>
      <c r="O13" s="432"/>
      <c r="P13" s="431">
        <f>+P9-P12</f>
        <v>-3582688</v>
      </c>
      <c r="Q13" s="432"/>
      <c r="R13" s="431">
        <f>+R9-R12</f>
        <v>-1257679</v>
      </c>
      <c r="S13" s="432"/>
      <c r="T13" s="431">
        <f>+T9-T12</f>
        <v>-1775799</v>
      </c>
      <c r="U13" s="432"/>
      <c r="V13" s="431">
        <f>+V9-V12</f>
        <v>10708881</v>
      </c>
      <c r="W13" s="432"/>
      <c r="X13" s="431">
        <f>+X9-X12</f>
        <v>-17325047</v>
      </c>
      <c r="Y13" s="432"/>
    </row>
    <row r="14" spans="1:25" ht="19.5" customHeight="1">
      <c r="A14" s="403"/>
      <c r="B14" s="81"/>
      <c r="C14" s="461" t="s">
        <v>146</v>
      </c>
      <c r="D14" s="9"/>
      <c r="E14" s="10" t="s">
        <v>143</v>
      </c>
      <c r="F14" s="11"/>
      <c r="G14" s="46">
        <f>(F15-F17)/F17*100</f>
        <v>1.1007870319830668</v>
      </c>
      <c r="H14" s="47"/>
      <c r="I14" s="46">
        <f>(H15-H17)/H17*100</f>
        <v>1.0063251129344657</v>
      </c>
      <c r="J14" s="459"/>
      <c r="K14" s="460"/>
      <c r="L14" s="459"/>
      <c r="M14" s="460"/>
      <c r="N14" s="459"/>
      <c r="O14" s="460"/>
      <c r="P14" s="459"/>
      <c r="Q14" s="460"/>
      <c r="R14" s="459"/>
      <c r="S14" s="460"/>
      <c r="T14" s="459"/>
      <c r="U14" s="460"/>
      <c r="V14" s="459"/>
      <c r="W14" s="460"/>
      <c r="X14" s="459"/>
      <c r="Y14" s="460"/>
    </row>
    <row r="15" spans="1:25" ht="19.5" customHeight="1">
      <c r="A15" s="403"/>
      <c r="B15" s="81"/>
      <c r="C15" s="462"/>
      <c r="D15" s="449" t="str">
        <f>D7</f>
        <v>１９年度決算</v>
      </c>
      <c r="E15" s="450"/>
      <c r="F15" s="453">
        <f>'1表 参考資料(1)'!B66</f>
        <v>220009495</v>
      </c>
      <c r="G15" s="454"/>
      <c r="H15" s="453">
        <f>'1表 参考資料(1)'!C66</f>
        <v>213145730</v>
      </c>
      <c r="I15" s="454"/>
      <c r="J15" s="464">
        <f>+F15-H15</f>
        <v>6863765</v>
      </c>
      <c r="K15" s="465"/>
      <c r="L15" s="453">
        <f>'1表 参考資料(1)'!K66</f>
        <v>877078</v>
      </c>
      <c r="M15" s="454"/>
      <c r="N15" s="464">
        <f>+J15-L15</f>
        <v>5986687</v>
      </c>
      <c r="O15" s="465"/>
      <c r="P15" s="453">
        <f>'1表 参考資料(1)'!M66</f>
        <v>-333252</v>
      </c>
      <c r="Q15" s="454"/>
      <c r="R15" s="453">
        <f>'1表 参考資料(1)'!N66</f>
        <v>3198188</v>
      </c>
      <c r="S15" s="454"/>
      <c r="T15" s="453">
        <f>'1表 参考資料(1)'!O66</f>
        <v>1330484</v>
      </c>
      <c r="U15" s="454"/>
      <c r="V15" s="453">
        <f>'1表 参考資料(1)'!P66</f>
        <v>3580446</v>
      </c>
      <c r="W15" s="454"/>
      <c r="X15" s="464">
        <f>+P15+R15+T15-V15</f>
        <v>614974</v>
      </c>
      <c r="Y15" s="465"/>
    </row>
    <row r="16" spans="1:25" ht="19.5" customHeight="1">
      <c r="A16" s="403"/>
      <c r="B16" s="81"/>
      <c r="C16" s="462"/>
      <c r="D16" s="14"/>
      <c r="E16" s="15" t="s">
        <v>143</v>
      </c>
      <c r="F16" s="16"/>
      <c r="G16" s="48">
        <f>(F17-'1表 参考資料(1)'!F66)/'1表 参考資料(1)'!F66*100</f>
        <v>-1.6317904004050845</v>
      </c>
      <c r="H16" s="49"/>
      <c r="I16" s="48">
        <f>(H17-'1表 参考資料(1)'!G66)/'1表 参考資料(1)'!G66*100</f>
        <v>-1.8031401044414495</v>
      </c>
      <c r="J16" s="457"/>
      <c r="K16" s="458"/>
      <c r="L16" s="457"/>
      <c r="M16" s="458"/>
      <c r="N16" s="457"/>
      <c r="O16" s="458"/>
      <c r="P16" s="457"/>
      <c r="Q16" s="458"/>
      <c r="R16" s="457"/>
      <c r="S16" s="458"/>
      <c r="T16" s="457"/>
      <c r="U16" s="458"/>
      <c r="V16" s="457"/>
      <c r="W16" s="458"/>
      <c r="X16" s="457"/>
      <c r="Y16" s="458"/>
    </row>
    <row r="17" spans="1:25" ht="19.5" customHeight="1">
      <c r="A17" s="403"/>
      <c r="B17" s="81"/>
      <c r="C17" s="462"/>
      <c r="D17" s="449" t="str">
        <f>D9</f>
        <v>１８年度決算</v>
      </c>
      <c r="E17" s="450"/>
      <c r="F17" s="453">
        <v>217614028</v>
      </c>
      <c r="G17" s="454"/>
      <c r="H17" s="453">
        <v>211022161</v>
      </c>
      <c r="I17" s="454"/>
      <c r="J17" s="464">
        <f>+F17-H17</f>
        <v>6591867</v>
      </c>
      <c r="K17" s="465"/>
      <c r="L17" s="453">
        <v>273829</v>
      </c>
      <c r="M17" s="454"/>
      <c r="N17" s="464">
        <f>+J17-L17</f>
        <v>6318038</v>
      </c>
      <c r="O17" s="465"/>
      <c r="P17" s="453">
        <v>643307</v>
      </c>
      <c r="Q17" s="454"/>
      <c r="R17" s="453">
        <v>3246686</v>
      </c>
      <c r="S17" s="454"/>
      <c r="T17" s="453">
        <v>975523</v>
      </c>
      <c r="U17" s="454"/>
      <c r="V17" s="453">
        <v>3239103</v>
      </c>
      <c r="W17" s="454"/>
      <c r="X17" s="464">
        <f>+P17+R17+T17-V17</f>
        <v>1626413</v>
      </c>
      <c r="Y17" s="465"/>
    </row>
    <row r="18" spans="1:25" s="42" customFormat="1" ht="18.75" customHeight="1" thickBot="1">
      <c r="A18" s="403"/>
      <c r="B18" s="83"/>
      <c r="C18" s="462"/>
      <c r="D18" s="455" t="s">
        <v>144</v>
      </c>
      <c r="E18" s="456"/>
      <c r="F18" s="451">
        <f>F15-F17</f>
        <v>2395467</v>
      </c>
      <c r="G18" s="452"/>
      <c r="H18" s="451">
        <f>H15-H17</f>
        <v>2123569</v>
      </c>
      <c r="I18" s="452"/>
      <c r="J18" s="451">
        <f>J15-J17</f>
        <v>271898</v>
      </c>
      <c r="K18" s="452"/>
      <c r="L18" s="451">
        <f>L15-L17</f>
        <v>603249</v>
      </c>
      <c r="M18" s="452"/>
      <c r="N18" s="451">
        <f>N15-N17</f>
        <v>-331351</v>
      </c>
      <c r="O18" s="452"/>
      <c r="P18" s="451">
        <f>P15-P17</f>
        <v>-976559</v>
      </c>
      <c r="Q18" s="452"/>
      <c r="R18" s="451">
        <f>R15-R17</f>
        <v>-48498</v>
      </c>
      <c r="S18" s="452"/>
      <c r="T18" s="451">
        <f>T15-T17</f>
        <v>354961</v>
      </c>
      <c r="U18" s="452"/>
      <c r="V18" s="451">
        <f>V15-V17</f>
        <v>341343</v>
      </c>
      <c r="W18" s="452"/>
      <c r="X18" s="451">
        <f>X15-X17</f>
        <v>-1011439</v>
      </c>
      <c r="Y18" s="452"/>
    </row>
    <row r="19" spans="1:25" ht="22.5" customHeight="1" hidden="1" thickBot="1">
      <c r="A19" s="403"/>
      <c r="B19" s="84"/>
      <c r="C19" s="462"/>
      <c r="D19" s="14"/>
      <c r="E19" s="15" t="s">
        <v>143</v>
      </c>
      <c r="F19" s="11"/>
      <c r="G19" s="12">
        <v>-1.7</v>
      </c>
      <c r="H19" s="13"/>
      <c r="I19" s="12">
        <v>-1.8</v>
      </c>
      <c r="J19" s="459"/>
      <c r="K19" s="460"/>
      <c r="L19" s="459"/>
      <c r="M19" s="460"/>
      <c r="N19" s="459"/>
      <c r="O19" s="460"/>
      <c r="P19" s="459"/>
      <c r="Q19" s="460"/>
      <c r="R19" s="459"/>
      <c r="S19" s="460"/>
      <c r="T19" s="459"/>
      <c r="U19" s="460"/>
      <c r="V19" s="459"/>
      <c r="W19" s="460"/>
      <c r="X19" s="459"/>
      <c r="Y19" s="460"/>
    </row>
    <row r="20" spans="1:25" ht="21" customHeight="1" hidden="1" thickBot="1">
      <c r="A20" s="403"/>
      <c r="B20" s="84"/>
      <c r="C20" s="462"/>
      <c r="D20" s="449" t="s">
        <v>145</v>
      </c>
      <c r="E20" s="450"/>
      <c r="F20" s="443">
        <v>425118064</v>
      </c>
      <c r="G20" s="444"/>
      <c r="H20" s="443">
        <v>413473508</v>
      </c>
      <c r="I20" s="444"/>
      <c r="J20" s="443">
        <f>F20-H20</f>
        <v>11644556</v>
      </c>
      <c r="K20" s="444"/>
      <c r="L20" s="443">
        <v>1437178</v>
      </c>
      <c r="M20" s="444"/>
      <c r="N20" s="443">
        <f>+J20-L20</f>
        <v>10207378</v>
      </c>
      <c r="O20" s="444"/>
      <c r="P20" s="443">
        <v>1050983</v>
      </c>
      <c r="Q20" s="444"/>
      <c r="R20" s="443">
        <v>5408172</v>
      </c>
      <c r="S20" s="444"/>
      <c r="T20" s="443">
        <v>2745050</v>
      </c>
      <c r="U20" s="444"/>
      <c r="V20" s="443">
        <v>6477828</v>
      </c>
      <c r="W20" s="444"/>
      <c r="X20" s="443">
        <f>+P20+R20+T20-V20</f>
        <v>2726377</v>
      </c>
      <c r="Y20" s="444"/>
    </row>
    <row r="21" spans="1:25" ht="21" customHeight="1" hidden="1" thickBot="1">
      <c r="A21" s="403"/>
      <c r="B21" s="84"/>
      <c r="C21" s="463"/>
      <c r="D21" s="445" t="s">
        <v>144</v>
      </c>
      <c r="E21" s="446"/>
      <c r="F21" s="431">
        <f>F17-F20</f>
        <v>-207504036</v>
      </c>
      <c r="G21" s="432"/>
      <c r="H21" s="431">
        <f>H17-H20</f>
        <v>-202451347</v>
      </c>
      <c r="I21" s="432"/>
      <c r="J21" s="431">
        <f>J17-J20</f>
        <v>-5052689</v>
      </c>
      <c r="K21" s="432"/>
      <c r="L21" s="431">
        <f>L17-L20</f>
        <v>-1163349</v>
      </c>
      <c r="M21" s="432"/>
      <c r="N21" s="431">
        <f>N17-N20</f>
        <v>-3889340</v>
      </c>
      <c r="O21" s="432"/>
      <c r="P21" s="431">
        <f>P17-P20</f>
        <v>-407676</v>
      </c>
      <c r="Q21" s="432"/>
      <c r="R21" s="431">
        <f>R17-R20</f>
        <v>-2161486</v>
      </c>
      <c r="S21" s="432"/>
      <c r="T21" s="431">
        <f>T17-T20</f>
        <v>-1769527</v>
      </c>
      <c r="U21" s="432"/>
      <c r="V21" s="431">
        <f>V17-V20</f>
        <v>-3238725</v>
      </c>
      <c r="W21" s="432"/>
      <c r="X21" s="431">
        <f>X17-X20</f>
        <v>-1099964</v>
      </c>
      <c r="Y21" s="432"/>
    </row>
    <row r="22" spans="1:25" ht="19.5" customHeight="1">
      <c r="A22" s="403"/>
      <c r="B22" s="84"/>
      <c r="C22" s="461" t="s">
        <v>128</v>
      </c>
      <c r="D22" s="9"/>
      <c r="E22" s="10" t="s">
        <v>143</v>
      </c>
      <c r="F22" s="11"/>
      <c r="G22" s="46">
        <f>(F23-F25)/F25*100</f>
        <v>2.0698553890541405</v>
      </c>
      <c r="H22" s="47"/>
      <c r="I22" s="46">
        <f>(H23-H25)/H25*100</f>
        <v>2.247582535050399</v>
      </c>
      <c r="J22" s="459"/>
      <c r="K22" s="460"/>
      <c r="L22" s="459"/>
      <c r="M22" s="460"/>
      <c r="N22" s="459"/>
      <c r="O22" s="460"/>
      <c r="P22" s="459"/>
      <c r="Q22" s="460"/>
      <c r="R22" s="459"/>
      <c r="S22" s="460"/>
      <c r="T22" s="459"/>
      <c r="U22" s="460"/>
      <c r="V22" s="459"/>
      <c r="W22" s="460"/>
      <c r="X22" s="459"/>
      <c r="Y22" s="460"/>
    </row>
    <row r="23" spans="1:25" ht="19.5" customHeight="1">
      <c r="A23" s="403"/>
      <c r="B23" s="81"/>
      <c r="C23" s="462"/>
      <c r="D23" s="449" t="str">
        <f>D15</f>
        <v>１９年度決算</v>
      </c>
      <c r="E23" s="450"/>
      <c r="F23" s="453">
        <f>SUM(F7,F15)</f>
        <v>787836494</v>
      </c>
      <c r="G23" s="454"/>
      <c r="H23" s="453">
        <f>SUM(H7,H15)</f>
        <v>765359946</v>
      </c>
      <c r="I23" s="454"/>
      <c r="J23" s="453">
        <f>SUM(J7,J15)</f>
        <v>22476548</v>
      </c>
      <c r="K23" s="454"/>
      <c r="L23" s="453">
        <f>SUM(L7,L15)</f>
        <v>2820784</v>
      </c>
      <c r="M23" s="454"/>
      <c r="N23" s="453">
        <f>SUM(N7,N15)</f>
        <v>19655764</v>
      </c>
      <c r="O23" s="454"/>
      <c r="P23" s="453">
        <f>SUM(P7,P15)</f>
        <v>-1839125</v>
      </c>
      <c r="Q23" s="454"/>
      <c r="R23" s="453">
        <f>SUM(R7,R15)</f>
        <v>10938074</v>
      </c>
      <c r="S23" s="454"/>
      <c r="T23" s="453">
        <f>SUM(T7,T15)</f>
        <v>2206737</v>
      </c>
      <c r="U23" s="454"/>
      <c r="V23" s="453">
        <f>SUM(V7,V15)</f>
        <v>16246664</v>
      </c>
      <c r="W23" s="454"/>
      <c r="X23" s="453">
        <f>SUM(X7,X15)</f>
        <v>-4940978</v>
      </c>
      <c r="Y23" s="454"/>
    </row>
    <row r="24" spans="1:25" ht="19.5" customHeight="1">
      <c r="A24" s="403"/>
      <c r="B24" s="81"/>
      <c r="C24" s="462"/>
      <c r="D24" s="14"/>
      <c r="E24" s="15" t="s">
        <v>143</v>
      </c>
      <c r="F24" s="16"/>
      <c r="G24" s="48">
        <f>(F25-'1表 参考資料(1)'!F67)/'1表 参考資料(1)'!F67*100</f>
        <v>-1.8601806052915508</v>
      </c>
      <c r="H24" s="49"/>
      <c r="I24" s="48">
        <f>(H25-'1表 参考資料(1)'!G67)/'1表 参考資料(1)'!G67*100</f>
        <v>-1.7537218842807507</v>
      </c>
      <c r="J24" s="457"/>
      <c r="K24" s="458"/>
      <c r="L24" s="457"/>
      <c r="M24" s="458"/>
      <c r="N24" s="457"/>
      <c r="O24" s="458"/>
      <c r="P24" s="457"/>
      <c r="Q24" s="458"/>
      <c r="R24" s="457"/>
      <c r="S24" s="458"/>
      <c r="T24" s="457"/>
      <c r="U24" s="458"/>
      <c r="V24" s="457"/>
      <c r="W24" s="458"/>
      <c r="X24" s="457"/>
      <c r="Y24" s="458"/>
    </row>
    <row r="25" spans="1:25" ht="19.5" customHeight="1">
      <c r="A25" s="403"/>
      <c r="B25" s="81"/>
      <c r="C25" s="462"/>
      <c r="D25" s="449" t="str">
        <f>D17</f>
        <v>１８年度決算</v>
      </c>
      <c r="E25" s="450"/>
      <c r="F25" s="453">
        <f>SUM(F9,F17)</f>
        <v>771860106</v>
      </c>
      <c r="G25" s="454"/>
      <c r="H25" s="453">
        <f>SUM(H9,H17)</f>
        <v>748535982</v>
      </c>
      <c r="I25" s="454"/>
      <c r="J25" s="453">
        <f>SUM(J9,J17)</f>
        <v>23324124</v>
      </c>
      <c r="K25" s="454"/>
      <c r="L25" s="453">
        <f>SUM(L9,L17)</f>
        <v>1840895</v>
      </c>
      <c r="M25" s="454"/>
      <c r="N25" s="453">
        <f>SUM(N9,N17)</f>
        <v>21483229</v>
      </c>
      <c r="O25" s="454"/>
      <c r="P25" s="453">
        <f>SUM(P9,P17)</f>
        <v>1083118</v>
      </c>
      <c r="Q25" s="454"/>
      <c r="R25" s="453">
        <f>SUM(R9,R17)</f>
        <v>9622575</v>
      </c>
      <c r="S25" s="454"/>
      <c r="T25" s="453">
        <f>SUM(T9,T17)</f>
        <v>1533933</v>
      </c>
      <c r="U25" s="454"/>
      <c r="V25" s="453">
        <f>SUM(V9,V17)</f>
        <v>15037315</v>
      </c>
      <c r="W25" s="454"/>
      <c r="X25" s="453">
        <f>SUM(X9,X17)</f>
        <v>-2797689</v>
      </c>
      <c r="Y25" s="454"/>
    </row>
    <row r="26" spans="1:25" s="42" customFormat="1" ht="18.75" customHeight="1" thickBot="1">
      <c r="A26" s="403"/>
      <c r="B26" s="82"/>
      <c r="C26" s="462"/>
      <c r="D26" s="455" t="s">
        <v>144</v>
      </c>
      <c r="E26" s="456"/>
      <c r="F26" s="451">
        <f>F23-F25</f>
        <v>15976388</v>
      </c>
      <c r="G26" s="452"/>
      <c r="H26" s="451">
        <f>H23-H25</f>
        <v>16823964</v>
      </c>
      <c r="I26" s="452"/>
      <c r="J26" s="451">
        <f>J23-J25</f>
        <v>-847576</v>
      </c>
      <c r="K26" s="452"/>
      <c r="L26" s="451">
        <f>L23-L25</f>
        <v>979889</v>
      </c>
      <c r="M26" s="452"/>
      <c r="N26" s="451">
        <f>N23-N25</f>
        <v>-1827465</v>
      </c>
      <c r="O26" s="452"/>
      <c r="P26" s="451">
        <f>P23-P25</f>
        <v>-2922243</v>
      </c>
      <c r="Q26" s="452"/>
      <c r="R26" s="451">
        <f>R23-R25</f>
        <v>1315499</v>
      </c>
      <c r="S26" s="452"/>
      <c r="T26" s="451">
        <f>T23-T25</f>
        <v>672804</v>
      </c>
      <c r="U26" s="452"/>
      <c r="V26" s="451">
        <f>V23-V25</f>
        <v>1209349</v>
      </c>
      <c r="W26" s="452"/>
      <c r="X26" s="451">
        <f>X23-X25</f>
        <v>-2143289</v>
      </c>
      <c r="Y26" s="452"/>
    </row>
    <row r="27" spans="1:25" ht="0.75" customHeight="1" hidden="1" thickBot="1">
      <c r="A27" s="403"/>
      <c r="B27" s="81"/>
      <c r="C27" s="462"/>
      <c r="D27" s="14"/>
      <c r="E27" s="15" t="s">
        <v>143</v>
      </c>
      <c r="F27" s="16"/>
      <c r="G27" s="18">
        <v>-1.1</v>
      </c>
      <c r="H27" s="17"/>
      <c r="I27" s="18">
        <v>-1.1</v>
      </c>
      <c r="J27" s="447"/>
      <c r="K27" s="448"/>
      <c r="L27" s="447"/>
      <c r="M27" s="448"/>
      <c r="N27" s="447"/>
      <c r="O27" s="448"/>
      <c r="P27" s="447"/>
      <c r="Q27" s="448"/>
      <c r="R27" s="447"/>
      <c r="S27" s="448"/>
      <c r="T27" s="447"/>
      <c r="U27" s="448"/>
      <c r="V27" s="447"/>
      <c r="W27" s="448"/>
      <c r="X27" s="447"/>
      <c r="Y27" s="448"/>
    </row>
    <row r="28" spans="1:25" ht="20.25" customHeight="1" hidden="1" thickBot="1">
      <c r="A28" s="403"/>
      <c r="B28" s="81"/>
      <c r="C28" s="462"/>
      <c r="D28" s="449" t="s">
        <v>145</v>
      </c>
      <c r="E28" s="450"/>
      <c r="F28" s="443">
        <f>SUM(F12,F20)</f>
        <v>930865246</v>
      </c>
      <c r="G28" s="444"/>
      <c r="H28" s="443">
        <f>SUM(H12,H20)</f>
        <v>901356531</v>
      </c>
      <c r="I28" s="444"/>
      <c r="J28" s="443">
        <f>SUM(J12,J20)</f>
        <v>29508715</v>
      </c>
      <c r="K28" s="444"/>
      <c r="L28" s="443">
        <f>SUM(L12,L20)</f>
        <v>4205277</v>
      </c>
      <c r="M28" s="444"/>
      <c r="N28" s="443">
        <f>SUM(N12,N20)</f>
        <v>25303438</v>
      </c>
      <c r="O28" s="444"/>
      <c r="P28" s="443">
        <f>SUM(P12,P20)</f>
        <v>5073482</v>
      </c>
      <c r="Q28" s="444"/>
      <c r="R28" s="443">
        <f>SUM(R12,R20)</f>
        <v>13041740</v>
      </c>
      <c r="S28" s="444"/>
      <c r="T28" s="443">
        <f>SUM(T12,T20)</f>
        <v>5079259</v>
      </c>
      <c r="U28" s="444"/>
      <c r="V28" s="443">
        <f>SUM(V12,V20)</f>
        <v>7567159</v>
      </c>
      <c r="W28" s="444"/>
      <c r="X28" s="443">
        <f>SUM(X12,X20)</f>
        <v>15627322</v>
      </c>
      <c r="Y28" s="444"/>
    </row>
    <row r="29" spans="1:25" ht="20.25" customHeight="1" hidden="1" thickBot="1">
      <c r="A29" s="403"/>
      <c r="B29" s="81"/>
      <c r="C29" s="463"/>
      <c r="D29" s="445" t="s">
        <v>144</v>
      </c>
      <c r="E29" s="446"/>
      <c r="F29" s="431">
        <f>F25-F28</f>
        <v>-159005140</v>
      </c>
      <c r="G29" s="432"/>
      <c r="H29" s="431">
        <f>H25-H28</f>
        <v>-152820549</v>
      </c>
      <c r="I29" s="432"/>
      <c r="J29" s="431">
        <f>J25-J28</f>
        <v>-6184591</v>
      </c>
      <c r="K29" s="432"/>
      <c r="L29" s="431">
        <f>L25-L28</f>
        <v>-2364382</v>
      </c>
      <c r="M29" s="432"/>
      <c r="N29" s="431">
        <f>N25-N28</f>
        <v>-3820209</v>
      </c>
      <c r="O29" s="432"/>
      <c r="P29" s="431">
        <f>P25-P28</f>
        <v>-3990364</v>
      </c>
      <c r="Q29" s="432"/>
      <c r="R29" s="431">
        <f>R25-R28</f>
        <v>-3419165</v>
      </c>
      <c r="S29" s="432"/>
      <c r="T29" s="431">
        <f>T25-T28</f>
        <v>-3545326</v>
      </c>
      <c r="U29" s="432"/>
      <c r="V29" s="431">
        <f>V25-V28</f>
        <v>7470156</v>
      </c>
      <c r="W29" s="432"/>
      <c r="X29" s="431">
        <f>X25-X28</f>
        <v>-18425011</v>
      </c>
      <c r="Y29" s="432"/>
    </row>
    <row r="30" spans="1:3" ht="14.25">
      <c r="A30" s="403"/>
      <c r="B30" s="81"/>
      <c r="C30" s="19"/>
    </row>
    <row r="31" spans="1:2" ht="14.25">
      <c r="A31" s="403"/>
      <c r="B31" s="81"/>
    </row>
    <row r="32" spans="1:2" ht="14.25">
      <c r="A32" s="403"/>
      <c r="B32" s="81"/>
    </row>
    <row r="33" spans="1:2" ht="14.25">
      <c r="A33" s="403"/>
      <c r="B33" s="81"/>
    </row>
    <row r="34" spans="1:3" ht="18.75">
      <c r="A34" s="403"/>
      <c r="B34" s="81"/>
      <c r="C34" s="6" t="s">
        <v>107</v>
      </c>
    </row>
    <row r="35" spans="1:27" ht="15" thickBot="1">
      <c r="A35" s="403"/>
      <c r="B35" s="81"/>
      <c r="AA35" s="20" t="s">
        <v>147</v>
      </c>
    </row>
    <row r="36" spans="1:27" s="85" customFormat="1" ht="28.5" customHeight="1">
      <c r="A36" s="403"/>
      <c r="B36" s="81"/>
      <c r="C36" s="433" t="s">
        <v>148</v>
      </c>
      <c r="D36" s="434"/>
      <c r="E36" s="435"/>
      <c r="F36" s="439" t="s">
        <v>11</v>
      </c>
      <c r="G36" s="440"/>
      <c r="H36" s="440" t="s">
        <v>12</v>
      </c>
      <c r="I36" s="440"/>
      <c r="J36" s="440" t="s">
        <v>13</v>
      </c>
      <c r="K36" s="440"/>
      <c r="L36" s="440" t="s">
        <v>114</v>
      </c>
      <c r="M36" s="440"/>
      <c r="N36" s="440" t="s">
        <v>115</v>
      </c>
      <c r="O36" s="440"/>
      <c r="P36" s="442" t="s">
        <v>14</v>
      </c>
      <c r="Q36" s="442"/>
      <c r="R36" s="402" t="s">
        <v>149</v>
      </c>
      <c r="S36" s="399"/>
      <c r="T36" s="422" t="s">
        <v>150</v>
      </c>
      <c r="U36" s="423"/>
      <c r="V36" s="423"/>
      <c r="W36" s="423"/>
      <c r="X36" s="423"/>
      <c r="Y36" s="423"/>
      <c r="Z36" s="402" t="s">
        <v>15</v>
      </c>
      <c r="AA36" s="424"/>
    </row>
    <row r="37" spans="1:27" s="85" customFormat="1" ht="17.25" customHeight="1" thickBot="1">
      <c r="A37" s="403"/>
      <c r="B37" s="81"/>
      <c r="C37" s="436"/>
      <c r="D37" s="437"/>
      <c r="E37" s="438"/>
      <c r="F37" s="441"/>
      <c r="G37" s="426"/>
      <c r="H37" s="426"/>
      <c r="I37" s="426"/>
      <c r="J37" s="426"/>
      <c r="K37" s="426"/>
      <c r="L37" s="426"/>
      <c r="M37" s="426"/>
      <c r="N37" s="426"/>
      <c r="O37" s="426"/>
      <c r="P37" s="425" t="s">
        <v>116</v>
      </c>
      <c r="Q37" s="425"/>
      <c r="R37" s="425" t="s">
        <v>117</v>
      </c>
      <c r="S37" s="425"/>
      <c r="T37" s="426" t="s">
        <v>16</v>
      </c>
      <c r="U37" s="426"/>
      <c r="V37" s="426" t="s">
        <v>17</v>
      </c>
      <c r="W37" s="426"/>
      <c r="X37" s="427" t="s">
        <v>151</v>
      </c>
      <c r="Y37" s="428"/>
      <c r="Z37" s="429" t="s">
        <v>118</v>
      </c>
      <c r="AA37" s="430"/>
    </row>
    <row r="38" spans="1:27" ht="21" customHeight="1">
      <c r="A38" s="403"/>
      <c r="B38" s="81"/>
      <c r="C38" s="420" t="s">
        <v>18</v>
      </c>
      <c r="D38" s="421"/>
      <c r="E38" s="400"/>
      <c r="F38" s="401">
        <f>'帳票61_03(1)　２表参考資料'!CX17</f>
        <v>1603761</v>
      </c>
      <c r="G38" s="419"/>
      <c r="H38" s="418">
        <f>'帳票61_03(1)　２表参考資料'!CY17</f>
        <v>7942157</v>
      </c>
      <c r="I38" s="419"/>
      <c r="J38" s="418">
        <f>'帳票61_03(1)　２表参考資料'!CZ17</f>
        <v>16338</v>
      </c>
      <c r="K38" s="419"/>
      <c r="L38" s="418">
        <f>'帳票61_03(1)　２表参考資料'!DA17</f>
        <v>14438</v>
      </c>
      <c r="M38" s="419"/>
      <c r="N38" s="418">
        <f>'帳票61_03(1)　２表参考資料'!DB17</f>
        <v>0</v>
      </c>
      <c r="O38" s="419"/>
      <c r="P38" s="412">
        <f>SUM(F38:O38)</f>
        <v>9576694</v>
      </c>
      <c r="Q38" s="412"/>
      <c r="R38" s="418">
        <f>'帳票61_03(1)　２表参考資料'!DD17</f>
        <v>7632988</v>
      </c>
      <c r="S38" s="419"/>
      <c r="T38" s="418">
        <f>'帳票61_03(1)　２表参考資料'!DE17</f>
        <v>2356063</v>
      </c>
      <c r="U38" s="419"/>
      <c r="V38" s="418">
        <f>'帳票61_03(1)　２表参考資料'!DF17</f>
        <v>3784900</v>
      </c>
      <c r="W38" s="419"/>
      <c r="X38" s="418">
        <f>'帳票61_03(1)　２表参考資料'!DG17</f>
        <v>1492025</v>
      </c>
      <c r="Y38" s="419"/>
      <c r="Z38" s="412">
        <f>P38-R38</f>
        <v>1943706</v>
      </c>
      <c r="AA38" s="413"/>
    </row>
    <row r="39" spans="1:27" ht="21" customHeight="1">
      <c r="A39" s="403"/>
      <c r="B39" s="81"/>
      <c r="C39" s="414" t="s">
        <v>19</v>
      </c>
      <c r="D39" s="415"/>
      <c r="E39" s="416"/>
      <c r="F39" s="417">
        <f>'帳票61_03(1)　２表参考資料'!CX65</f>
        <v>261692</v>
      </c>
      <c r="G39" s="410"/>
      <c r="H39" s="409">
        <f>'帳票61_03(1)　２表参考資料'!CY65</f>
        <v>2972186</v>
      </c>
      <c r="I39" s="410"/>
      <c r="J39" s="409">
        <f>'帳票61_03(1)　２表参考資料'!CZ65</f>
        <v>30857</v>
      </c>
      <c r="K39" s="410"/>
      <c r="L39" s="409">
        <f>'帳票61_03(1)　２表参考資料'!DA65</f>
        <v>0</v>
      </c>
      <c r="M39" s="410"/>
      <c r="N39" s="409">
        <f>'帳票61_03(1)　２表参考資料'!DB65</f>
        <v>0</v>
      </c>
      <c r="O39" s="410"/>
      <c r="P39" s="409">
        <f>SUM(F39:O39)</f>
        <v>3264735</v>
      </c>
      <c r="Q39" s="410"/>
      <c r="R39" s="409">
        <f>'帳票61_03(1)　２表参考資料'!DD65</f>
        <v>2387657</v>
      </c>
      <c r="S39" s="410"/>
      <c r="T39" s="409">
        <f>'帳票61_03(1)　２表参考資料'!DE65</f>
        <v>894495</v>
      </c>
      <c r="U39" s="410"/>
      <c r="V39" s="409">
        <f>'帳票61_03(1)　２表参考資料'!DF65</f>
        <v>1215200</v>
      </c>
      <c r="W39" s="410"/>
      <c r="X39" s="409">
        <f>'帳票61_03(1)　２表参考資料'!DG65</f>
        <v>277962</v>
      </c>
      <c r="Y39" s="410"/>
      <c r="Z39" s="412">
        <f>P39-R39</f>
        <v>877078</v>
      </c>
      <c r="AA39" s="413"/>
    </row>
    <row r="40" spans="1:27" ht="21" customHeight="1" thickBot="1">
      <c r="A40" s="403"/>
      <c r="B40" s="81"/>
      <c r="C40" s="406" t="s">
        <v>20</v>
      </c>
      <c r="D40" s="407"/>
      <c r="E40" s="408"/>
      <c r="F40" s="404">
        <f>SUM(F38:G39)</f>
        <v>1865453</v>
      </c>
      <c r="G40" s="405"/>
      <c r="H40" s="404">
        <f>SUM(H38:I39)</f>
        <v>10914343</v>
      </c>
      <c r="I40" s="405"/>
      <c r="J40" s="404">
        <f>SUM(J38:K39)</f>
        <v>47195</v>
      </c>
      <c r="K40" s="405"/>
      <c r="L40" s="404">
        <f>SUM(L38:M39)</f>
        <v>14438</v>
      </c>
      <c r="M40" s="405"/>
      <c r="N40" s="404">
        <f>SUM(N38:O39)</f>
        <v>0</v>
      </c>
      <c r="O40" s="405"/>
      <c r="P40" s="404">
        <f>SUM(P38:Q39)</f>
        <v>12841429</v>
      </c>
      <c r="Q40" s="405"/>
      <c r="R40" s="404">
        <f>SUM(R38:S39)</f>
        <v>10020645</v>
      </c>
      <c r="S40" s="405"/>
      <c r="T40" s="404">
        <f>SUM(T38:U39)</f>
        <v>3250558</v>
      </c>
      <c r="U40" s="405"/>
      <c r="V40" s="404">
        <f>SUM(V38:W39)</f>
        <v>5000100</v>
      </c>
      <c r="W40" s="405"/>
      <c r="X40" s="404">
        <f>SUM(X38:Y39)</f>
        <v>1769987</v>
      </c>
      <c r="Y40" s="405"/>
      <c r="Z40" s="405">
        <f>SUM(Z38:AA39)</f>
        <v>2820784</v>
      </c>
      <c r="AA40" s="411"/>
    </row>
    <row r="41" spans="5:27" ht="14.25" hidden="1">
      <c r="E41" s="7" t="s">
        <v>433</v>
      </c>
      <c r="G41" s="7">
        <v>3</v>
      </c>
      <c r="I41" s="7">
        <v>3</v>
      </c>
      <c r="K41" s="7">
        <v>3</v>
      </c>
      <c r="M41" s="7">
        <v>3</v>
      </c>
      <c r="O41" s="7">
        <v>3</v>
      </c>
      <c r="Q41" s="7">
        <v>3</v>
      </c>
      <c r="S41" s="7">
        <v>3</v>
      </c>
      <c r="U41" s="7">
        <v>3</v>
      </c>
      <c r="W41" s="7">
        <v>3</v>
      </c>
      <c r="Y41" s="7">
        <v>3</v>
      </c>
      <c r="AA41" s="7">
        <v>3</v>
      </c>
    </row>
    <row r="42" ht="14.25" hidden="1">
      <c r="E42" s="7" t="s">
        <v>434</v>
      </c>
    </row>
    <row r="43" spans="5:27" ht="14.25" hidden="1">
      <c r="E43" s="7" t="s">
        <v>435</v>
      </c>
      <c r="G43" s="7">
        <v>1</v>
      </c>
      <c r="I43" s="7">
        <v>2</v>
      </c>
      <c r="K43" s="7">
        <v>3</v>
      </c>
      <c r="M43" s="7">
        <v>4</v>
      </c>
      <c r="O43" s="7">
        <v>5</v>
      </c>
      <c r="Q43" s="7">
        <v>6</v>
      </c>
      <c r="S43" s="7">
        <v>7</v>
      </c>
      <c r="U43" s="7">
        <v>8</v>
      </c>
      <c r="W43" s="7">
        <v>9</v>
      </c>
      <c r="Y43" s="7">
        <v>10</v>
      </c>
      <c r="AA43" s="7">
        <v>11</v>
      </c>
    </row>
  </sheetData>
  <mergeCells count="314">
    <mergeCell ref="C3:E5"/>
    <mergeCell ref="F3:G4"/>
    <mergeCell ref="H3:I4"/>
    <mergeCell ref="J3:K4"/>
    <mergeCell ref="F5:G5"/>
    <mergeCell ref="H5:I5"/>
    <mergeCell ref="J5:K5"/>
    <mergeCell ref="T3:U4"/>
    <mergeCell ref="V3:W4"/>
    <mergeCell ref="X3:Y4"/>
    <mergeCell ref="L3:M4"/>
    <mergeCell ref="N3:O4"/>
    <mergeCell ref="P3:Q4"/>
    <mergeCell ref="R3:S4"/>
    <mergeCell ref="L5:M5"/>
    <mergeCell ref="N5:O5"/>
    <mergeCell ref="P5:Q5"/>
    <mergeCell ref="R5:S5"/>
    <mergeCell ref="T5:U5"/>
    <mergeCell ref="V5:W5"/>
    <mergeCell ref="X5:Y5"/>
    <mergeCell ref="C6:C13"/>
    <mergeCell ref="J6:K6"/>
    <mergeCell ref="L6:M6"/>
    <mergeCell ref="N6:O6"/>
    <mergeCell ref="P6:Q6"/>
    <mergeCell ref="R6:S6"/>
    <mergeCell ref="T6:U6"/>
    <mergeCell ref="V6:W6"/>
    <mergeCell ref="X6:Y6"/>
    <mergeCell ref="D7:E7"/>
    <mergeCell ref="F7:G7"/>
    <mergeCell ref="H7:I7"/>
    <mergeCell ref="J7:K7"/>
    <mergeCell ref="L7:M7"/>
    <mergeCell ref="N7:O7"/>
    <mergeCell ref="P7:Q7"/>
    <mergeCell ref="R7:S7"/>
    <mergeCell ref="X7:Y7"/>
    <mergeCell ref="J8:K8"/>
    <mergeCell ref="L8:M8"/>
    <mergeCell ref="N8:O8"/>
    <mergeCell ref="P8:Q8"/>
    <mergeCell ref="R8:S8"/>
    <mergeCell ref="T8:U8"/>
    <mergeCell ref="V8:W8"/>
    <mergeCell ref="T7:U7"/>
    <mergeCell ref="V7:W7"/>
    <mergeCell ref="X8:Y8"/>
    <mergeCell ref="D9:E9"/>
    <mergeCell ref="F9:G9"/>
    <mergeCell ref="H9:I9"/>
    <mergeCell ref="J9:K9"/>
    <mergeCell ref="L9:M9"/>
    <mergeCell ref="N9:O9"/>
    <mergeCell ref="P9:Q9"/>
    <mergeCell ref="T9:U9"/>
    <mergeCell ref="V9:W9"/>
    <mergeCell ref="X9:Y9"/>
    <mergeCell ref="D10:E10"/>
    <mergeCell ref="F10:G10"/>
    <mergeCell ref="H10:I10"/>
    <mergeCell ref="J10:K10"/>
    <mergeCell ref="L10:M10"/>
    <mergeCell ref="N10:O10"/>
    <mergeCell ref="P10:Q10"/>
    <mergeCell ref="R10:S10"/>
    <mergeCell ref="R9:S9"/>
    <mergeCell ref="T10:U10"/>
    <mergeCell ref="V10:W10"/>
    <mergeCell ref="X10:Y10"/>
    <mergeCell ref="J11:K11"/>
    <mergeCell ref="L11:M11"/>
    <mergeCell ref="N11:O11"/>
    <mergeCell ref="P11:Q11"/>
    <mergeCell ref="R11:S11"/>
    <mergeCell ref="T11:U11"/>
    <mergeCell ref="V11:W11"/>
    <mergeCell ref="X11:Y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C14:C21"/>
    <mergeCell ref="J14:K14"/>
    <mergeCell ref="L14:M14"/>
    <mergeCell ref="N14:O14"/>
    <mergeCell ref="P14:Q14"/>
    <mergeCell ref="R14:S14"/>
    <mergeCell ref="T14:U14"/>
    <mergeCell ref="V14:W14"/>
    <mergeCell ref="X14:Y14"/>
    <mergeCell ref="D15:E15"/>
    <mergeCell ref="F15:G15"/>
    <mergeCell ref="H15:I15"/>
    <mergeCell ref="J15:K15"/>
    <mergeCell ref="N15:O15"/>
    <mergeCell ref="P15:Q15"/>
    <mergeCell ref="R15:S15"/>
    <mergeCell ref="L15:M15"/>
    <mergeCell ref="X15:Y15"/>
    <mergeCell ref="J16:K16"/>
    <mergeCell ref="L16:M16"/>
    <mergeCell ref="N16:O16"/>
    <mergeCell ref="P16:Q16"/>
    <mergeCell ref="R16:S16"/>
    <mergeCell ref="T16:U16"/>
    <mergeCell ref="V16:W16"/>
    <mergeCell ref="T15:U15"/>
    <mergeCell ref="V15:W15"/>
    <mergeCell ref="X16:Y16"/>
    <mergeCell ref="D17:E17"/>
    <mergeCell ref="F17:G17"/>
    <mergeCell ref="H17:I17"/>
    <mergeCell ref="J17:K17"/>
    <mergeCell ref="L17:M17"/>
    <mergeCell ref="N17:O17"/>
    <mergeCell ref="P17:Q17"/>
    <mergeCell ref="R17:S17"/>
    <mergeCell ref="V17:W17"/>
    <mergeCell ref="X17:Y17"/>
    <mergeCell ref="D18:E18"/>
    <mergeCell ref="F18:G18"/>
    <mergeCell ref="H18:I18"/>
    <mergeCell ref="J18:K18"/>
    <mergeCell ref="L18:M18"/>
    <mergeCell ref="N18:O18"/>
    <mergeCell ref="P18:Q18"/>
    <mergeCell ref="R18:S18"/>
    <mergeCell ref="T17:U17"/>
    <mergeCell ref="T18:U18"/>
    <mergeCell ref="V18:W18"/>
    <mergeCell ref="X18:Y18"/>
    <mergeCell ref="J19:K19"/>
    <mergeCell ref="L19:M19"/>
    <mergeCell ref="N19:O19"/>
    <mergeCell ref="P19:Q19"/>
    <mergeCell ref="R19:S19"/>
    <mergeCell ref="T19:U19"/>
    <mergeCell ref="V19:W19"/>
    <mergeCell ref="X19:Y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C22:C29"/>
    <mergeCell ref="J22:K22"/>
    <mergeCell ref="L22:M22"/>
    <mergeCell ref="N22:O22"/>
    <mergeCell ref="P22:Q22"/>
    <mergeCell ref="R22:S22"/>
    <mergeCell ref="T22:U22"/>
    <mergeCell ref="V22:W22"/>
    <mergeCell ref="X22:Y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J24:K24"/>
    <mergeCell ref="L24:M24"/>
    <mergeCell ref="N24:O24"/>
    <mergeCell ref="P24:Q24"/>
    <mergeCell ref="R24:S24"/>
    <mergeCell ref="T24:U24"/>
    <mergeCell ref="V24:W24"/>
    <mergeCell ref="X24:Y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J27:K27"/>
    <mergeCell ref="L27:M27"/>
    <mergeCell ref="N27:O27"/>
    <mergeCell ref="P27:Q27"/>
    <mergeCell ref="R27:S27"/>
    <mergeCell ref="T27:U27"/>
    <mergeCell ref="V27:W27"/>
    <mergeCell ref="X27:Y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C36:E37"/>
    <mergeCell ref="F36:G37"/>
    <mergeCell ref="H36:I37"/>
    <mergeCell ref="J36:K37"/>
    <mergeCell ref="L36:M37"/>
    <mergeCell ref="N36:O37"/>
    <mergeCell ref="P36:Q36"/>
    <mergeCell ref="R36:S36"/>
    <mergeCell ref="T36:Y36"/>
    <mergeCell ref="Z36:AA36"/>
    <mergeCell ref="P37:Q37"/>
    <mergeCell ref="R37:S37"/>
    <mergeCell ref="T37:U37"/>
    <mergeCell ref="V37:W37"/>
    <mergeCell ref="X37:Y37"/>
    <mergeCell ref="Z37:AA37"/>
    <mergeCell ref="C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C39:E39"/>
    <mergeCell ref="F39:G39"/>
    <mergeCell ref="H39:I39"/>
    <mergeCell ref="J39:K39"/>
    <mergeCell ref="X39:Y39"/>
    <mergeCell ref="Z39:AA39"/>
    <mergeCell ref="L39:M39"/>
    <mergeCell ref="N39:O39"/>
    <mergeCell ref="P39:Q39"/>
    <mergeCell ref="R39:S39"/>
    <mergeCell ref="Z40:AA40"/>
    <mergeCell ref="L40:M40"/>
    <mergeCell ref="N40:O40"/>
    <mergeCell ref="P40:Q40"/>
    <mergeCell ref="R40:S40"/>
    <mergeCell ref="A1:A40"/>
    <mergeCell ref="T40:U40"/>
    <mergeCell ref="V40:W40"/>
    <mergeCell ref="X40:Y40"/>
    <mergeCell ref="C40:E40"/>
    <mergeCell ref="F40:G40"/>
    <mergeCell ref="H40:I40"/>
    <mergeCell ref="J40:K40"/>
    <mergeCell ref="T39:U39"/>
    <mergeCell ref="V39:W39"/>
  </mergeCells>
  <printOptions/>
  <pageMargins left="0" right="0.3937007874015748" top="1.1811023622047245" bottom="0" header="0.7874015748031497" footer="0"/>
  <pageSetup fitToHeight="1" fitToWidth="1" horizontalDpi="600" verticalDpi="600" orientation="landscape" paperSize="9" scale="83" r:id="rId1"/>
  <headerFooter alignWithMargins="0">
    <oddHeader>&amp;C&amp;16平成19年度市町村普通会計決算の概要　　（計数）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view="pageBreakPreview" zoomScale="75" zoomScaleNormal="60" zoomScaleSheetLayoutView="75" workbookViewId="0" topLeftCell="A1">
      <selection activeCell="C32" sqref="C32"/>
    </sheetView>
  </sheetViews>
  <sheetFormatPr defaultColWidth="9.00390625" defaultRowHeight="13.5"/>
  <cols>
    <col min="1" max="1" width="9.00390625" style="1" customWidth="1"/>
    <col min="2" max="2" width="9.50390625" style="1" bestFit="1" customWidth="1"/>
    <col min="3" max="3" width="30.00390625" style="1" customWidth="1"/>
    <col min="4" max="4" width="15.625" style="355" customWidth="1"/>
    <col min="5" max="5" width="7.50390625" style="1" customWidth="1"/>
    <col min="6" max="6" width="15.625" style="355" customWidth="1"/>
    <col min="7" max="7" width="7.50390625" style="1" customWidth="1"/>
    <col min="8" max="8" width="13.875" style="362" customWidth="1"/>
    <col min="9" max="9" width="7.50390625" style="1" customWidth="1"/>
    <col min="10" max="10" width="15.625" style="362" customWidth="1"/>
    <col min="11" max="11" width="7.50390625" style="1" customWidth="1"/>
    <col min="12" max="12" width="15.625" style="362" customWidth="1"/>
    <col min="13" max="13" width="7.50390625" style="1" customWidth="1"/>
    <col min="14" max="14" width="15.625" style="362" customWidth="1"/>
    <col min="15" max="15" width="7.625" style="1" customWidth="1"/>
    <col min="16" max="16" width="15.625" style="362" customWidth="1"/>
    <col min="17" max="17" width="7.50390625" style="1" customWidth="1"/>
    <col min="18" max="18" width="15.625" style="362" customWidth="1"/>
    <col min="19" max="19" width="7.50390625" style="1" customWidth="1"/>
    <col min="20" max="20" width="15.625" style="362" customWidth="1"/>
    <col min="21" max="21" width="7.625" style="1" customWidth="1"/>
    <col min="22" max="23" width="8.125" style="1" customWidth="1"/>
    <col min="24" max="24" width="15.25390625" style="1" customWidth="1"/>
    <col min="25" max="16384" width="10.75390625" style="1" customWidth="1"/>
  </cols>
  <sheetData>
    <row r="1" spans="1:3" ht="27.75" customHeight="1">
      <c r="A1" s="489"/>
      <c r="C1" s="4" t="s">
        <v>21</v>
      </c>
    </row>
    <row r="2" spans="1:24" ht="27.75" customHeight="1" thickBot="1">
      <c r="A2" s="489"/>
      <c r="X2" s="86" t="s">
        <v>132</v>
      </c>
    </row>
    <row r="3" spans="1:25" ht="27.75" customHeight="1">
      <c r="A3" s="489"/>
      <c r="C3" s="490" t="s">
        <v>153</v>
      </c>
      <c r="D3" s="356"/>
      <c r="E3" s="98"/>
      <c r="F3" s="360" t="s">
        <v>18</v>
      </c>
      <c r="G3" s="98"/>
      <c r="H3" s="363"/>
      <c r="I3" s="99"/>
      <c r="J3" s="366"/>
      <c r="K3" s="98"/>
      <c r="L3" s="363" t="s">
        <v>22</v>
      </c>
      <c r="M3" s="98"/>
      <c r="N3" s="363"/>
      <c r="O3" s="99"/>
      <c r="P3" s="366"/>
      <c r="Q3" s="98"/>
      <c r="R3" s="363" t="s">
        <v>20</v>
      </c>
      <c r="S3" s="98"/>
      <c r="T3" s="363"/>
      <c r="U3" s="99"/>
      <c r="V3" s="100" t="s">
        <v>154</v>
      </c>
      <c r="W3" s="101"/>
      <c r="X3" s="102" t="s">
        <v>441</v>
      </c>
      <c r="Y3" s="87"/>
    </row>
    <row r="4" spans="1:25" ht="27.75" customHeight="1" thickBot="1">
      <c r="A4" s="489"/>
      <c r="C4" s="491"/>
      <c r="D4" s="357" t="s">
        <v>437</v>
      </c>
      <c r="E4" s="104" t="s">
        <v>23</v>
      </c>
      <c r="F4" s="361" t="s">
        <v>438</v>
      </c>
      <c r="G4" s="104" t="s">
        <v>23</v>
      </c>
      <c r="H4" s="364" t="s">
        <v>24</v>
      </c>
      <c r="I4" s="105" t="s">
        <v>25</v>
      </c>
      <c r="J4" s="367" t="s">
        <v>437</v>
      </c>
      <c r="K4" s="104" t="s">
        <v>23</v>
      </c>
      <c r="L4" s="364" t="s">
        <v>438</v>
      </c>
      <c r="M4" s="104" t="s">
        <v>23</v>
      </c>
      <c r="N4" s="364" t="s">
        <v>24</v>
      </c>
      <c r="O4" s="105" t="s">
        <v>25</v>
      </c>
      <c r="P4" s="367" t="s">
        <v>437</v>
      </c>
      <c r="Q4" s="104" t="s">
        <v>23</v>
      </c>
      <c r="R4" s="364" t="s">
        <v>438</v>
      </c>
      <c r="S4" s="104" t="s">
        <v>23</v>
      </c>
      <c r="T4" s="364" t="s">
        <v>24</v>
      </c>
      <c r="U4" s="105" t="s">
        <v>25</v>
      </c>
      <c r="V4" s="103" t="s">
        <v>439</v>
      </c>
      <c r="W4" s="105" t="s">
        <v>440</v>
      </c>
      <c r="X4" s="106" t="s">
        <v>155</v>
      </c>
      <c r="Y4" s="87"/>
    </row>
    <row r="5" spans="1:25" ht="30" customHeight="1">
      <c r="A5" s="489"/>
      <c r="C5" s="107" t="s">
        <v>156</v>
      </c>
      <c r="D5" s="378">
        <v>216132960</v>
      </c>
      <c r="E5" s="379">
        <f aca="true" t="shared" si="0" ref="E5:E34">ROUND(D5/$D$31*100,1)</f>
        <v>38.1</v>
      </c>
      <c r="F5" s="380">
        <v>198478853</v>
      </c>
      <c r="G5" s="379">
        <f aca="true" t="shared" si="1" ref="G5:G30">ROUND(F5/$F$31*100,1)</f>
        <v>35.8</v>
      </c>
      <c r="H5" s="108">
        <f aca="true" t="shared" si="2" ref="H5:H14">D5-F5</f>
        <v>17654107</v>
      </c>
      <c r="I5" s="336">
        <f aca="true" t="shared" si="3" ref="I5:I11">ROUND((D5-F5)/F5*100,1)</f>
        <v>8.9</v>
      </c>
      <c r="J5" s="381">
        <v>63270411</v>
      </c>
      <c r="K5" s="379">
        <f aca="true" t="shared" si="4" ref="K5:K34">ROUND(J5/$J$31*100,1)</f>
        <v>28.8</v>
      </c>
      <c r="L5" s="108">
        <v>57702297</v>
      </c>
      <c r="M5" s="379">
        <f aca="true" t="shared" si="5" ref="M5:M34">ROUND(L5/$L$31*100,1)</f>
        <v>26.5</v>
      </c>
      <c r="N5" s="108">
        <f aca="true" t="shared" si="6" ref="N5:N30">J5-L5</f>
        <v>5568114</v>
      </c>
      <c r="O5" s="336">
        <f aca="true" t="shared" si="7" ref="O5:O11">ROUND((J5-L5)/L5*100,1)</f>
        <v>9.6</v>
      </c>
      <c r="P5" s="381">
        <f aca="true" t="shared" si="8" ref="P5:P33">D5+J5</f>
        <v>279403371</v>
      </c>
      <c r="Q5" s="379">
        <f aca="true" t="shared" si="9" ref="Q5:Q34">ROUND(P5/$P$31*100,1)</f>
        <v>35.5</v>
      </c>
      <c r="R5" s="108">
        <f aca="true" t="shared" si="10" ref="R5:R34">F5+L5</f>
        <v>256181150</v>
      </c>
      <c r="S5" s="379">
        <f aca="true" t="shared" si="11" ref="S5:S30">ROUND(R5/$R$31*100,1)</f>
        <v>33.2</v>
      </c>
      <c r="T5" s="369">
        <f aca="true" t="shared" si="12" ref="T5:T30">P5-R5</f>
        <v>23222221</v>
      </c>
      <c r="U5" s="337">
        <f aca="true" t="shared" si="13" ref="U5:U11">ROUND((P5-R5)/R5*100,1)</f>
        <v>9.1</v>
      </c>
      <c r="V5" s="338">
        <v>0.6</v>
      </c>
      <c r="W5" s="339">
        <v>1.9</v>
      </c>
      <c r="X5" s="340">
        <v>10.1</v>
      </c>
      <c r="Y5" s="87"/>
    </row>
    <row r="6" spans="1:25" ht="30" customHeight="1">
      <c r="A6" s="489"/>
      <c r="C6" s="109" t="s">
        <v>157</v>
      </c>
      <c r="D6" s="382">
        <v>8943722</v>
      </c>
      <c r="E6" s="383">
        <f t="shared" si="0"/>
        <v>1.6</v>
      </c>
      <c r="F6" s="384">
        <v>20396194</v>
      </c>
      <c r="G6" s="383">
        <f t="shared" si="1"/>
        <v>3.7</v>
      </c>
      <c r="H6" s="110">
        <f t="shared" si="2"/>
        <v>-11452472</v>
      </c>
      <c r="I6" s="341">
        <f t="shared" si="3"/>
        <v>-56.2</v>
      </c>
      <c r="J6" s="385">
        <v>3908033</v>
      </c>
      <c r="K6" s="383">
        <f t="shared" si="4"/>
        <v>1.8</v>
      </c>
      <c r="L6" s="110">
        <v>7208116</v>
      </c>
      <c r="M6" s="383">
        <f t="shared" si="5"/>
        <v>3.3</v>
      </c>
      <c r="N6" s="110">
        <f t="shared" si="6"/>
        <v>-3300083</v>
      </c>
      <c r="O6" s="341">
        <f t="shared" si="7"/>
        <v>-45.8</v>
      </c>
      <c r="P6" s="385">
        <f t="shared" si="8"/>
        <v>12851755</v>
      </c>
      <c r="Q6" s="383">
        <f t="shared" si="9"/>
        <v>1.6</v>
      </c>
      <c r="R6" s="110">
        <f t="shared" si="10"/>
        <v>27604310</v>
      </c>
      <c r="S6" s="383">
        <f t="shared" si="11"/>
        <v>3.6</v>
      </c>
      <c r="T6" s="370">
        <f t="shared" si="12"/>
        <v>-14752555</v>
      </c>
      <c r="U6" s="342">
        <f t="shared" si="13"/>
        <v>-53.4</v>
      </c>
      <c r="V6" s="112">
        <v>34.4</v>
      </c>
      <c r="W6" s="250">
        <v>23.6</v>
      </c>
      <c r="X6" s="343">
        <v>-81</v>
      </c>
      <c r="Y6" s="87"/>
    </row>
    <row r="7" spans="1:25" ht="30" customHeight="1">
      <c r="A7" s="489"/>
      <c r="C7" s="111" t="s">
        <v>158</v>
      </c>
      <c r="D7" s="382">
        <v>749902</v>
      </c>
      <c r="E7" s="383">
        <f t="shared" si="0"/>
        <v>0.1</v>
      </c>
      <c r="F7" s="384">
        <v>572515</v>
      </c>
      <c r="G7" s="383">
        <f t="shared" si="1"/>
        <v>0.1</v>
      </c>
      <c r="H7" s="110">
        <f t="shared" si="2"/>
        <v>177387</v>
      </c>
      <c r="I7" s="341">
        <f t="shared" si="3"/>
        <v>31</v>
      </c>
      <c r="J7" s="385">
        <v>160390</v>
      </c>
      <c r="K7" s="383">
        <f t="shared" si="4"/>
        <v>0.1</v>
      </c>
      <c r="L7" s="110">
        <v>123260</v>
      </c>
      <c r="M7" s="383">
        <f t="shared" si="5"/>
        <v>0.1</v>
      </c>
      <c r="N7" s="110">
        <f t="shared" si="6"/>
        <v>37130</v>
      </c>
      <c r="O7" s="341">
        <f t="shared" si="7"/>
        <v>30.1</v>
      </c>
      <c r="P7" s="385">
        <f t="shared" si="8"/>
        <v>910292</v>
      </c>
      <c r="Q7" s="383">
        <f t="shared" si="9"/>
        <v>0.1</v>
      </c>
      <c r="R7" s="110">
        <f t="shared" si="10"/>
        <v>695775</v>
      </c>
      <c r="S7" s="383">
        <f t="shared" si="11"/>
        <v>0.1</v>
      </c>
      <c r="T7" s="370">
        <f t="shared" si="12"/>
        <v>214517</v>
      </c>
      <c r="U7" s="342">
        <f t="shared" si="13"/>
        <v>30.8</v>
      </c>
      <c r="V7" s="112">
        <v>-33.4</v>
      </c>
      <c r="W7" s="250" t="s">
        <v>297</v>
      </c>
      <c r="X7" s="343"/>
      <c r="Y7" s="87"/>
    </row>
    <row r="8" spans="1:25" ht="30" customHeight="1">
      <c r="A8" s="489"/>
      <c r="C8" s="109" t="s">
        <v>159</v>
      </c>
      <c r="D8" s="382">
        <v>568480</v>
      </c>
      <c r="E8" s="383">
        <f t="shared" si="0"/>
        <v>0.1</v>
      </c>
      <c r="F8" s="384">
        <v>447027</v>
      </c>
      <c r="G8" s="383">
        <f t="shared" si="1"/>
        <v>0.1</v>
      </c>
      <c r="H8" s="110">
        <f t="shared" si="2"/>
        <v>121453</v>
      </c>
      <c r="I8" s="342">
        <f t="shared" si="3"/>
        <v>27.2</v>
      </c>
      <c r="J8" s="386">
        <v>121685</v>
      </c>
      <c r="K8" s="383">
        <f t="shared" si="4"/>
        <v>0.1</v>
      </c>
      <c r="L8" s="387">
        <v>96225</v>
      </c>
      <c r="M8" s="388">
        <f t="shared" si="5"/>
        <v>0</v>
      </c>
      <c r="N8" s="110">
        <f t="shared" si="6"/>
        <v>25460</v>
      </c>
      <c r="O8" s="342">
        <f t="shared" si="7"/>
        <v>26.5</v>
      </c>
      <c r="P8" s="385">
        <f t="shared" si="8"/>
        <v>690165</v>
      </c>
      <c r="Q8" s="383">
        <f t="shared" si="9"/>
        <v>0.1</v>
      </c>
      <c r="R8" s="387">
        <f t="shared" si="10"/>
        <v>543252</v>
      </c>
      <c r="S8" s="383">
        <f t="shared" si="11"/>
        <v>0.1</v>
      </c>
      <c r="T8" s="370">
        <f t="shared" si="12"/>
        <v>146913</v>
      </c>
      <c r="U8" s="342">
        <f t="shared" si="13"/>
        <v>27</v>
      </c>
      <c r="V8" s="376">
        <v>60.3</v>
      </c>
      <c r="W8" s="377">
        <v>69.8</v>
      </c>
      <c r="X8" s="344"/>
      <c r="Y8" s="87"/>
    </row>
    <row r="9" spans="1:25" ht="30" customHeight="1">
      <c r="A9" s="489"/>
      <c r="C9" s="109" t="s">
        <v>160</v>
      </c>
      <c r="D9" s="382">
        <v>261052</v>
      </c>
      <c r="E9" s="383">
        <f t="shared" si="0"/>
        <v>0</v>
      </c>
      <c r="F9" s="384">
        <v>312307</v>
      </c>
      <c r="G9" s="383">
        <f t="shared" si="1"/>
        <v>0.1</v>
      </c>
      <c r="H9" s="110">
        <f t="shared" si="2"/>
        <v>-51255</v>
      </c>
      <c r="I9" s="342">
        <f t="shared" si="3"/>
        <v>-16.4</v>
      </c>
      <c r="J9" s="386">
        <v>55716</v>
      </c>
      <c r="K9" s="383">
        <f t="shared" si="4"/>
        <v>0</v>
      </c>
      <c r="L9" s="110">
        <v>67005</v>
      </c>
      <c r="M9" s="383">
        <f t="shared" si="5"/>
        <v>0</v>
      </c>
      <c r="N9" s="110">
        <f t="shared" si="6"/>
        <v>-11289</v>
      </c>
      <c r="O9" s="342">
        <f t="shared" si="7"/>
        <v>-16.8</v>
      </c>
      <c r="P9" s="385">
        <f t="shared" si="8"/>
        <v>316768</v>
      </c>
      <c r="Q9" s="383">
        <f t="shared" si="9"/>
        <v>0</v>
      </c>
      <c r="R9" s="110">
        <f t="shared" si="10"/>
        <v>379312</v>
      </c>
      <c r="S9" s="383">
        <f t="shared" si="11"/>
        <v>0</v>
      </c>
      <c r="T9" s="370">
        <f t="shared" si="12"/>
        <v>-62544</v>
      </c>
      <c r="U9" s="342">
        <f t="shared" si="13"/>
        <v>-16.5</v>
      </c>
      <c r="V9" s="112">
        <v>-14</v>
      </c>
      <c r="W9" s="250">
        <v>110.5</v>
      </c>
      <c r="X9" s="344"/>
      <c r="Y9" s="87"/>
    </row>
    <row r="10" spans="1:25" ht="30" customHeight="1">
      <c r="A10" s="489"/>
      <c r="C10" s="109" t="s">
        <v>161</v>
      </c>
      <c r="D10" s="382">
        <v>15727009</v>
      </c>
      <c r="E10" s="383">
        <f t="shared" si="0"/>
        <v>2.8</v>
      </c>
      <c r="F10" s="384">
        <v>15872208</v>
      </c>
      <c r="G10" s="383">
        <f t="shared" si="1"/>
        <v>2.9</v>
      </c>
      <c r="H10" s="110">
        <f t="shared" si="2"/>
        <v>-145199</v>
      </c>
      <c r="I10" s="341">
        <f t="shared" si="3"/>
        <v>-0.9</v>
      </c>
      <c r="J10" s="386">
        <v>4127872</v>
      </c>
      <c r="K10" s="383">
        <f t="shared" si="4"/>
        <v>1.9</v>
      </c>
      <c r="L10" s="387">
        <v>4215792</v>
      </c>
      <c r="M10" s="388">
        <f t="shared" si="5"/>
        <v>1.9</v>
      </c>
      <c r="N10" s="110">
        <f t="shared" si="6"/>
        <v>-87920</v>
      </c>
      <c r="O10" s="345">
        <f t="shared" si="7"/>
        <v>-2.1</v>
      </c>
      <c r="P10" s="385">
        <f t="shared" si="8"/>
        <v>19854881</v>
      </c>
      <c r="Q10" s="383">
        <f t="shared" si="9"/>
        <v>2.5</v>
      </c>
      <c r="R10" s="110">
        <f t="shared" si="10"/>
        <v>20088000</v>
      </c>
      <c r="S10" s="383">
        <f t="shared" si="11"/>
        <v>2.6</v>
      </c>
      <c r="T10" s="370">
        <f t="shared" si="12"/>
        <v>-233119</v>
      </c>
      <c r="U10" s="346">
        <f t="shared" si="13"/>
        <v>-1.2</v>
      </c>
      <c r="V10" s="376">
        <v>0</v>
      </c>
      <c r="W10" s="377" t="s">
        <v>298</v>
      </c>
      <c r="X10" s="344"/>
      <c r="Y10" s="87"/>
    </row>
    <row r="11" spans="1:25" ht="30" customHeight="1">
      <c r="A11" s="489"/>
      <c r="C11" s="109" t="s">
        <v>162</v>
      </c>
      <c r="D11" s="382">
        <v>420080</v>
      </c>
      <c r="E11" s="383">
        <f t="shared" si="0"/>
        <v>0.1</v>
      </c>
      <c r="F11" s="384">
        <v>432322</v>
      </c>
      <c r="G11" s="383">
        <f t="shared" si="1"/>
        <v>0.1</v>
      </c>
      <c r="H11" s="110">
        <f t="shared" si="2"/>
        <v>-12242</v>
      </c>
      <c r="I11" s="341">
        <f t="shared" si="3"/>
        <v>-2.8</v>
      </c>
      <c r="J11" s="385">
        <v>232402</v>
      </c>
      <c r="K11" s="383">
        <f t="shared" si="4"/>
        <v>0.1</v>
      </c>
      <c r="L11" s="110">
        <v>220044</v>
      </c>
      <c r="M11" s="383">
        <f t="shared" si="5"/>
        <v>0.1</v>
      </c>
      <c r="N11" s="110">
        <f t="shared" si="6"/>
        <v>12358</v>
      </c>
      <c r="O11" s="341">
        <f t="shared" si="7"/>
        <v>5.6</v>
      </c>
      <c r="P11" s="385">
        <f t="shared" si="8"/>
        <v>652482</v>
      </c>
      <c r="Q11" s="383">
        <f t="shared" si="9"/>
        <v>0.1</v>
      </c>
      <c r="R11" s="110">
        <f t="shared" si="10"/>
        <v>652366</v>
      </c>
      <c r="S11" s="383">
        <f t="shared" si="11"/>
        <v>0.1</v>
      </c>
      <c r="T11" s="370">
        <f t="shared" si="12"/>
        <v>116</v>
      </c>
      <c r="U11" s="342">
        <f t="shared" si="13"/>
        <v>0</v>
      </c>
      <c r="V11" s="112">
        <v>1.5</v>
      </c>
      <c r="W11" s="250" t="s">
        <v>299</v>
      </c>
      <c r="X11" s="343"/>
      <c r="Y11" s="87"/>
    </row>
    <row r="12" spans="1:25" ht="30" customHeight="1">
      <c r="A12" s="489"/>
      <c r="C12" s="109" t="s">
        <v>163</v>
      </c>
      <c r="D12" s="382">
        <v>0</v>
      </c>
      <c r="E12" s="383">
        <f t="shared" si="0"/>
        <v>0</v>
      </c>
      <c r="F12" s="384">
        <v>0</v>
      </c>
      <c r="G12" s="383">
        <f t="shared" si="1"/>
        <v>0</v>
      </c>
      <c r="H12" s="110">
        <f t="shared" si="2"/>
        <v>0</v>
      </c>
      <c r="I12" s="342">
        <v>0</v>
      </c>
      <c r="J12" s="385">
        <v>0</v>
      </c>
      <c r="K12" s="383">
        <f t="shared" si="4"/>
        <v>0</v>
      </c>
      <c r="L12" s="110">
        <v>0</v>
      </c>
      <c r="M12" s="383">
        <f t="shared" si="5"/>
        <v>0</v>
      </c>
      <c r="N12" s="110">
        <f t="shared" si="6"/>
        <v>0</v>
      </c>
      <c r="O12" s="342">
        <v>0</v>
      </c>
      <c r="P12" s="385">
        <f t="shared" si="8"/>
        <v>0</v>
      </c>
      <c r="Q12" s="383">
        <f t="shared" si="9"/>
        <v>0</v>
      </c>
      <c r="R12" s="110">
        <f t="shared" si="10"/>
        <v>0</v>
      </c>
      <c r="S12" s="383">
        <f t="shared" si="11"/>
        <v>0</v>
      </c>
      <c r="T12" s="370">
        <f t="shared" si="12"/>
        <v>0</v>
      </c>
      <c r="U12" s="342">
        <v>0</v>
      </c>
      <c r="V12" s="112">
        <v>0</v>
      </c>
      <c r="W12" s="250">
        <v>0</v>
      </c>
      <c r="X12" s="343"/>
      <c r="Y12" s="87"/>
    </row>
    <row r="13" spans="1:25" ht="30" customHeight="1">
      <c r="A13" s="489"/>
      <c r="C13" s="109" t="s">
        <v>164</v>
      </c>
      <c r="D13" s="382">
        <v>3002890</v>
      </c>
      <c r="E13" s="383">
        <f t="shared" si="0"/>
        <v>0.5</v>
      </c>
      <c r="F13" s="384">
        <v>3257528</v>
      </c>
      <c r="G13" s="383">
        <f t="shared" si="1"/>
        <v>0.6</v>
      </c>
      <c r="H13" s="110">
        <f t="shared" si="2"/>
        <v>-254638</v>
      </c>
      <c r="I13" s="341">
        <f aca="true" t="shared" si="14" ref="I13:I34">ROUND((D13-F13)/F13*100,1)</f>
        <v>-7.8</v>
      </c>
      <c r="J13" s="385">
        <v>1310857</v>
      </c>
      <c r="K13" s="383">
        <f t="shared" si="4"/>
        <v>0.6</v>
      </c>
      <c r="L13" s="110">
        <v>1436408</v>
      </c>
      <c r="M13" s="383">
        <f t="shared" si="5"/>
        <v>0.7</v>
      </c>
      <c r="N13" s="110">
        <f t="shared" si="6"/>
        <v>-125551</v>
      </c>
      <c r="O13" s="341">
        <f aca="true" t="shared" si="15" ref="O13:O34">ROUND((J13-L13)/L13*100,1)</f>
        <v>-8.7</v>
      </c>
      <c r="P13" s="385">
        <f t="shared" si="8"/>
        <v>4313747</v>
      </c>
      <c r="Q13" s="383">
        <f t="shared" si="9"/>
        <v>0.5</v>
      </c>
      <c r="R13" s="110">
        <f t="shared" si="10"/>
        <v>4693936</v>
      </c>
      <c r="S13" s="383">
        <f t="shared" si="11"/>
        <v>0.6</v>
      </c>
      <c r="T13" s="370">
        <f t="shared" si="12"/>
        <v>-380189</v>
      </c>
      <c r="U13" s="342">
        <f aca="true" t="shared" si="16" ref="U13:U34">ROUND((P13-R13)/R13*100,1)</f>
        <v>-8.1</v>
      </c>
      <c r="V13" s="112">
        <v>2.4</v>
      </c>
      <c r="W13" s="250" t="s">
        <v>299</v>
      </c>
      <c r="X13" s="343"/>
      <c r="Y13" s="87"/>
    </row>
    <row r="14" spans="1:25" ht="30" customHeight="1">
      <c r="A14" s="489"/>
      <c r="C14" s="109" t="s">
        <v>165</v>
      </c>
      <c r="D14" s="382">
        <v>1385139</v>
      </c>
      <c r="E14" s="383">
        <f t="shared" si="0"/>
        <v>0.2</v>
      </c>
      <c r="F14" s="384">
        <v>4703322</v>
      </c>
      <c r="G14" s="383">
        <f t="shared" si="1"/>
        <v>0.8</v>
      </c>
      <c r="H14" s="110">
        <f t="shared" si="2"/>
        <v>-3318183</v>
      </c>
      <c r="I14" s="341">
        <f t="shared" si="14"/>
        <v>-70.5</v>
      </c>
      <c r="J14" s="385">
        <v>349337</v>
      </c>
      <c r="K14" s="383">
        <f t="shared" si="4"/>
        <v>0.2</v>
      </c>
      <c r="L14" s="110">
        <v>1086219</v>
      </c>
      <c r="M14" s="383">
        <f t="shared" si="5"/>
        <v>0.5</v>
      </c>
      <c r="N14" s="110">
        <f t="shared" si="6"/>
        <v>-736882</v>
      </c>
      <c r="O14" s="341">
        <f t="shared" si="15"/>
        <v>-67.8</v>
      </c>
      <c r="P14" s="389">
        <f t="shared" si="8"/>
        <v>1734476</v>
      </c>
      <c r="Q14" s="383">
        <f t="shared" si="9"/>
        <v>0.2</v>
      </c>
      <c r="R14" s="110">
        <f>F14+L14</f>
        <v>5789541</v>
      </c>
      <c r="S14" s="383">
        <f t="shared" si="11"/>
        <v>0.8</v>
      </c>
      <c r="T14" s="371">
        <f t="shared" si="12"/>
        <v>-4055065</v>
      </c>
      <c r="U14" s="342">
        <f t="shared" si="16"/>
        <v>-70</v>
      </c>
      <c r="V14" s="112">
        <v>-18</v>
      </c>
      <c r="W14" s="250" t="s">
        <v>300</v>
      </c>
      <c r="X14" s="343">
        <v>-61.8</v>
      </c>
      <c r="Y14" s="87"/>
    </row>
    <row r="15" spans="1:25" ht="30" customHeight="1">
      <c r="A15" s="489"/>
      <c r="C15" s="109" t="s">
        <v>166</v>
      </c>
      <c r="D15" s="382">
        <v>110115935</v>
      </c>
      <c r="E15" s="383">
        <f t="shared" si="0"/>
        <v>19.4</v>
      </c>
      <c r="F15" s="384">
        <v>114812561</v>
      </c>
      <c r="G15" s="383">
        <f t="shared" si="1"/>
        <v>20.7</v>
      </c>
      <c r="H15" s="110">
        <f>SUM(H16:H17)</f>
        <v>-4696626</v>
      </c>
      <c r="I15" s="341">
        <f t="shared" si="14"/>
        <v>-4.1</v>
      </c>
      <c r="J15" s="385">
        <v>73236003</v>
      </c>
      <c r="K15" s="383">
        <f t="shared" si="4"/>
        <v>33.3</v>
      </c>
      <c r="L15" s="110">
        <v>73751001</v>
      </c>
      <c r="M15" s="383">
        <f t="shared" si="5"/>
        <v>33.9</v>
      </c>
      <c r="N15" s="110">
        <f t="shared" si="6"/>
        <v>-514998</v>
      </c>
      <c r="O15" s="341">
        <f t="shared" si="15"/>
        <v>-0.7</v>
      </c>
      <c r="P15" s="385">
        <f t="shared" si="8"/>
        <v>183351938</v>
      </c>
      <c r="Q15" s="383">
        <f t="shared" si="9"/>
        <v>23.3</v>
      </c>
      <c r="R15" s="110">
        <f t="shared" si="10"/>
        <v>188563562</v>
      </c>
      <c r="S15" s="383">
        <f t="shared" si="11"/>
        <v>24.4</v>
      </c>
      <c r="T15" s="370">
        <f t="shared" si="12"/>
        <v>-5211624</v>
      </c>
      <c r="U15" s="342">
        <f t="shared" si="16"/>
        <v>-2.8</v>
      </c>
      <c r="V15" s="112">
        <v>-2.6</v>
      </c>
      <c r="W15" s="250">
        <v>0.7</v>
      </c>
      <c r="X15" s="343">
        <v>-4.4</v>
      </c>
      <c r="Y15" s="87"/>
    </row>
    <row r="16" spans="1:25" ht="30" customHeight="1">
      <c r="A16" s="489"/>
      <c r="C16" s="111" t="s">
        <v>26</v>
      </c>
      <c r="D16" s="382">
        <v>98522705</v>
      </c>
      <c r="E16" s="383">
        <f t="shared" si="0"/>
        <v>17.4</v>
      </c>
      <c r="F16" s="384">
        <v>102489706</v>
      </c>
      <c r="G16" s="383">
        <f t="shared" si="1"/>
        <v>18.5</v>
      </c>
      <c r="H16" s="110">
        <f>D16-F16</f>
        <v>-3967001</v>
      </c>
      <c r="I16" s="341">
        <f t="shared" si="14"/>
        <v>-3.9</v>
      </c>
      <c r="J16" s="385">
        <v>66282578</v>
      </c>
      <c r="K16" s="383">
        <f t="shared" si="4"/>
        <v>30.1</v>
      </c>
      <c r="L16" s="110">
        <v>67228599</v>
      </c>
      <c r="M16" s="383">
        <f t="shared" si="5"/>
        <v>30.9</v>
      </c>
      <c r="N16" s="110">
        <f t="shared" si="6"/>
        <v>-946021</v>
      </c>
      <c r="O16" s="341">
        <f t="shared" si="15"/>
        <v>-1.4</v>
      </c>
      <c r="P16" s="385">
        <f t="shared" si="8"/>
        <v>164805283</v>
      </c>
      <c r="Q16" s="383">
        <f t="shared" si="9"/>
        <v>20.9</v>
      </c>
      <c r="R16" s="110">
        <f t="shared" si="10"/>
        <v>169718305</v>
      </c>
      <c r="S16" s="383">
        <f t="shared" si="11"/>
        <v>22</v>
      </c>
      <c r="T16" s="370">
        <f t="shared" si="12"/>
        <v>-4913022</v>
      </c>
      <c r="U16" s="342">
        <f t="shared" si="16"/>
        <v>-2.9</v>
      </c>
      <c r="V16" s="112">
        <v>-2.7</v>
      </c>
      <c r="W16" s="250">
        <v>1</v>
      </c>
      <c r="X16" s="343"/>
      <c r="Y16" s="87"/>
    </row>
    <row r="17" spans="1:25" ht="30" customHeight="1">
      <c r="A17" s="489"/>
      <c r="C17" s="111" t="s">
        <v>27</v>
      </c>
      <c r="D17" s="382">
        <v>11593230</v>
      </c>
      <c r="E17" s="383">
        <f t="shared" si="0"/>
        <v>2</v>
      </c>
      <c r="F17" s="384">
        <v>12322855</v>
      </c>
      <c r="G17" s="383">
        <f t="shared" si="1"/>
        <v>2.2</v>
      </c>
      <c r="H17" s="110">
        <f>D17-F17</f>
        <v>-729625</v>
      </c>
      <c r="I17" s="341">
        <f t="shared" si="14"/>
        <v>-5.9</v>
      </c>
      <c r="J17" s="385">
        <v>6953425</v>
      </c>
      <c r="K17" s="383">
        <f t="shared" si="4"/>
        <v>3.2</v>
      </c>
      <c r="L17" s="110">
        <v>6522402</v>
      </c>
      <c r="M17" s="383">
        <f t="shared" si="5"/>
        <v>3</v>
      </c>
      <c r="N17" s="110">
        <f t="shared" si="6"/>
        <v>431023</v>
      </c>
      <c r="O17" s="341">
        <f t="shared" si="15"/>
        <v>6.6</v>
      </c>
      <c r="P17" s="385">
        <f t="shared" si="8"/>
        <v>18546655</v>
      </c>
      <c r="Q17" s="383">
        <f t="shared" si="9"/>
        <v>2.4</v>
      </c>
      <c r="R17" s="110">
        <f t="shared" si="10"/>
        <v>18845257</v>
      </c>
      <c r="S17" s="383">
        <f t="shared" si="11"/>
        <v>2.4</v>
      </c>
      <c r="T17" s="370">
        <f t="shared" si="12"/>
        <v>-298602</v>
      </c>
      <c r="U17" s="342">
        <f t="shared" si="16"/>
        <v>-1.6</v>
      </c>
      <c r="V17" s="112">
        <v>-2.2</v>
      </c>
      <c r="W17" s="250" t="s">
        <v>301</v>
      </c>
      <c r="X17" s="343"/>
      <c r="Y17" s="87"/>
    </row>
    <row r="18" spans="1:25" ht="30" customHeight="1">
      <c r="A18" s="489"/>
      <c r="C18" s="109" t="s">
        <v>28</v>
      </c>
      <c r="D18" s="382">
        <f>SUM(D5:D6)+SUM(D7:D15)</f>
        <v>357307169</v>
      </c>
      <c r="E18" s="383">
        <f t="shared" si="0"/>
        <v>62.9</v>
      </c>
      <c r="F18" s="384">
        <f>SUM(F5:F6)+SUM(F7:F15)</f>
        <v>359284837</v>
      </c>
      <c r="G18" s="383">
        <f t="shared" si="1"/>
        <v>64.8</v>
      </c>
      <c r="H18" s="110">
        <f>SUM(H5:H6)+SUM(H7:H15)</f>
        <v>-1977668</v>
      </c>
      <c r="I18" s="341">
        <f t="shared" si="14"/>
        <v>-0.6</v>
      </c>
      <c r="J18" s="385">
        <f>SUM(J5:J6)+SUM(J7:J15)</f>
        <v>146772706</v>
      </c>
      <c r="K18" s="383">
        <f t="shared" si="4"/>
        <v>66.7</v>
      </c>
      <c r="L18" s="110">
        <f>SUM(L5:L6)+SUM(L7:L15)</f>
        <v>145906367</v>
      </c>
      <c r="M18" s="383">
        <f t="shared" si="5"/>
        <v>67</v>
      </c>
      <c r="N18" s="110">
        <f>SUM(N5:N6)+SUM(N7:N15)</f>
        <v>866339</v>
      </c>
      <c r="O18" s="341">
        <f t="shared" si="15"/>
        <v>0.6</v>
      </c>
      <c r="P18" s="385">
        <f t="shared" si="8"/>
        <v>504079875</v>
      </c>
      <c r="Q18" s="383">
        <f t="shared" si="9"/>
        <v>64</v>
      </c>
      <c r="R18" s="110">
        <f t="shared" si="10"/>
        <v>505191204</v>
      </c>
      <c r="S18" s="383">
        <f t="shared" si="11"/>
        <v>65.5</v>
      </c>
      <c r="T18" s="370">
        <f t="shared" si="12"/>
        <v>-1111329</v>
      </c>
      <c r="U18" s="342">
        <f t="shared" si="16"/>
        <v>-0.2</v>
      </c>
      <c r="V18" s="112">
        <v>0.4</v>
      </c>
      <c r="W18" s="250">
        <v>1.5</v>
      </c>
      <c r="X18" s="343"/>
      <c r="Y18" s="87"/>
    </row>
    <row r="19" spans="1:25" ht="30" customHeight="1">
      <c r="A19" s="489"/>
      <c r="B19" s="492">
        <v>19</v>
      </c>
      <c r="C19" s="109" t="s">
        <v>167</v>
      </c>
      <c r="D19" s="382">
        <v>411320</v>
      </c>
      <c r="E19" s="383">
        <f t="shared" si="0"/>
        <v>0.1</v>
      </c>
      <c r="F19" s="384">
        <v>416933</v>
      </c>
      <c r="G19" s="383">
        <f t="shared" si="1"/>
        <v>0.1</v>
      </c>
      <c r="H19" s="110">
        <f aca="true" t="shared" si="17" ref="H19:H30">D19-F19</f>
        <v>-5613</v>
      </c>
      <c r="I19" s="341">
        <f t="shared" si="14"/>
        <v>-1.3</v>
      </c>
      <c r="J19" s="385">
        <v>79474</v>
      </c>
      <c r="K19" s="383">
        <f t="shared" si="4"/>
        <v>0</v>
      </c>
      <c r="L19" s="110">
        <v>82406</v>
      </c>
      <c r="M19" s="383">
        <f t="shared" si="5"/>
        <v>0</v>
      </c>
      <c r="N19" s="110">
        <f t="shared" si="6"/>
        <v>-2932</v>
      </c>
      <c r="O19" s="341">
        <f t="shared" si="15"/>
        <v>-3.6</v>
      </c>
      <c r="P19" s="385">
        <f t="shared" si="8"/>
        <v>490794</v>
      </c>
      <c r="Q19" s="383">
        <f t="shared" si="9"/>
        <v>0.1</v>
      </c>
      <c r="R19" s="110">
        <f t="shared" si="10"/>
        <v>499339</v>
      </c>
      <c r="S19" s="383">
        <f t="shared" si="11"/>
        <v>0.1</v>
      </c>
      <c r="T19" s="370">
        <f t="shared" si="12"/>
        <v>-8545</v>
      </c>
      <c r="U19" s="342">
        <f t="shared" si="16"/>
        <v>-1.7</v>
      </c>
      <c r="V19" s="112">
        <v>4.7</v>
      </c>
      <c r="W19" s="250" t="s">
        <v>300</v>
      </c>
      <c r="X19" s="343">
        <v>1.2</v>
      </c>
      <c r="Y19" s="87"/>
    </row>
    <row r="20" spans="1:25" ht="30" customHeight="1">
      <c r="A20" s="489"/>
      <c r="B20" s="492"/>
      <c r="C20" s="113" t="s">
        <v>168</v>
      </c>
      <c r="D20" s="382">
        <v>3466664</v>
      </c>
      <c r="E20" s="383">
        <f t="shared" si="0"/>
        <v>0.6</v>
      </c>
      <c r="F20" s="384">
        <v>3356681</v>
      </c>
      <c r="G20" s="383">
        <f t="shared" si="1"/>
        <v>0.6</v>
      </c>
      <c r="H20" s="110">
        <f t="shared" si="17"/>
        <v>109983</v>
      </c>
      <c r="I20" s="341">
        <f t="shared" si="14"/>
        <v>3.3</v>
      </c>
      <c r="J20" s="385">
        <v>1305137</v>
      </c>
      <c r="K20" s="383">
        <f t="shared" si="4"/>
        <v>0.6</v>
      </c>
      <c r="L20" s="110">
        <v>1548912</v>
      </c>
      <c r="M20" s="383">
        <f t="shared" si="5"/>
        <v>0.7</v>
      </c>
      <c r="N20" s="110">
        <f t="shared" si="6"/>
        <v>-243775</v>
      </c>
      <c r="O20" s="341">
        <f t="shared" si="15"/>
        <v>-15.7</v>
      </c>
      <c r="P20" s="385">
        <f t="shared" si="8"/>
        <v>4771801</v>
      </c>
      <c r="Q20" s="383">
        <f t="shared" si="9"/>
        <v>0.6</v>
      </c>
      <c r="R20" s="110">
        <f t="shared" si="10"/>
        <v>4905593</v>
      </c>
      <c r="S20" s="383">
        <f t="shared" si="11"/>
        <v>0.6</v>
      </c>
      <c r="T20" s="370">
        <f t="shared" si="12"/>
        <v>-133792</v>
      </c>
      <c r="U20" s="342">
        <f t="shared" si="16"/>
        <v>-2.7</v>
      </c>
      <c r="V20" s="112">
        <v>-2.5</v>
      </c>
      <c r="W20" s="250">
        <v>0.7</v>
      </c>
      <c r="X20" s="343"/>
      <c r="Y20" s="87"/>
    </row>
    <row r="21" spans="1:25" ht="30" customHeight="1">
      <c r="A21" s="489"/>
      <c r="C21" s="113" t="s">
        <v>169</v>
      </c>
      <c r="D21" s="382">
        <v>14441991</v>
      </c>
      <c r="E21" s="383">
        <f t="shared" si="0"/>
        <v>2.5</v>
      </c>
      <c r="F21" s="384">
        <v>14319848</v>
      </c>
      <c r="G21" s="383">
        <f t="shared" si="1"/>
        <v>2.6</v>
      </c>
      <c r="H21" s="110">
        <f t="shared" si="17"/>
        <v>122143</v>
      </c>
      <c r="I21" s="341">
        <f t="shared" si="14"/>
        <v>0.9</v>
      </c>
      <c r="J21" s="385">
        <v>4152695</v>
      </c>
      <c r="K21" s="383">
        <f t="shared" si="4"/>
        <v>1.9</v>
      </c>
      <c r="L21" s="110">
        <v>4290821</v>
      </c>
      <c r="M21" s="383">
        <f t="shared" si="5"/>
        <v>2</v>
      </c>
      <c r="N21" s="110">
        <f t="shared" si="6"/>
        <v>-138126</v>
      </c>
      <c r="O21" s="341">
        <f t="shared" si="15"/>
        <v>-3.2</v>
      </c>
      <c r="P21" s="385">
        <f t="shared" si="8"/>
        <v>18594686</v>
      </c>
      <c r="Q21" s="383">
        <f t="shared" si="9"/>
        <v>2.4</v>
      </c>
      <c r="R21" s="110">
        <f t="shared" si="10"/>
        <v>18610669</v>
      </c>
      <c r="S21" s="383">
        <f t="shared" si="11"/>
        <v>2.4</v>
      </c>
      <c r="T21" s="370">
        <f t="shared" si="12"/>
        <v>-15983</v>
      </c>
      <c r="U21" s="342">
        <f t="shared" si="16"/>
        <v>-0.1</v>
      </c>
      <c r="V21" s="112">
        <v>-7.1</v>
      </c>
      <c r="W21" s="250">
        <v>2.3</v>
      </c>
      <c r="X21" s="343">
        <v>0</v>
      </c>
      <c r="Y21" s="87"/>
    </row>
    <row r="22" spans="1:25" ht="30" customHeight="1">
      <c r="A22" s="489"/>
      <c r="C22" s="109" t="s">
        <v>170</v>
      </c>
      <c r="D22" s="382">
        <v>51658821</v>
      </c>
      <c r="E22" s="383">
        <f t="shared" si="0"/>
        <v>9.1</v>
      </c>
      <c r="F22" s="384">
        <v>48214709</v>
      </c>
      <c r="G22" s="383">
        <f t="shared" si="1"/>
        <v>8.7</v>
      </c>
      <c r="H22" s="110">
        <f t="shared" si="17"/>
        <v>3444112</v>
      </c>
      <c r="I22" s="341">
        <f t="shared" si="14"/>
        <v>7.1</v>
      </c>
      <c r="J22" s="385">
        <v>14487850</v>
      </c>
      <c r="K22" s="383">
        <f t="shared" si="4"/>
        <v>6.6</v>
      </c>
      <c r="L22" s="110">
        <v>12864232</v>
      </c>
      <c r="M22" s="383">
        <f t="shared" si="5"/>
        <v>5.9</v>
      </c>
      <c r="N22" s="110">
        <f t="shared" si="6"/>
        <v>1623618</v>
      </c>
      <c r="O22" s="341">
        <f t="shared" si="15"/>
        <v>12.6</v>
      </c>
      <c r="P22" s="385">
        <f t="shared" si="8"/>
        <v>66146671</v>
      </c>
      <c r="Q22" s="383">
        <f t="shared" si="9"/>
        <v>8.4</v>
      </c>
      <c r="R22" s="110">
        <f t="shared" si="10"/>
        <v>61078941</v>
      </c>
      <c r="S22" s="383">
        <f t="shared" si="11"/>
        <v>7.9</v>
      </c>
      <c r="T22" s="372">
        <f t="shared" si="12"/>
        <v>5067730</v>
      </c>
      <c r="U22" s="250">
        <f t="shared" si="16"/>
        <v>8.3</v>
      </c>
      <c r="V22" s="112">
        <v>-2.9</v>
      </c>
      <c r="W22" s="250">
        <v>1.6</v>
      </c>
      <c r="X22" s="343">
        <v>-0.3</v>
      </c>
      <c r="Y22" s="87"/>
    </row>
    <row r="23" spans="1:25" ht="30" customHeight="1">
      <c r="A23" s="489"/>
      <c r="C23" s="109" t="s">
        <v>171</v>
      </c>
      <c r="D23" s="382">
        <v>7549</v>
      </c>
      <c r="E23" s="383">
        <f t="shared" si="0"/>
        <v>0</v>
      </c>
      <c r="F23" s="384">
        <v>7359</v>
      </c>
      <c r="G23" s="383">
        <f t="shared" si="1"/>
        <v>0</v>
      </c>
      <c r="H23" s="110">
        <f t="shared" si="17"/>
        <v>190</v>
      </c>
      <c r="I23" s="341">
        <f t="shared" si="14"/>
        <v>2.6</v>
      </c>
      <c r="J23" s="385">
        <v>30862</v>
      </c>
      <c r="K23" s="383">
        <f t="shared" si="4"/>
        <v>0</v>
      </c>
      <c r="L23" s="110">
        <v>37544</v>
      </c>
      <c r="M23" s="383">
        <f t="shared" si="5"/>
        <v>0</v>
      </c>
      <c r="N23" s="110">
        <f t="shared" si="6"/>
        <v>-6682</v>
      </c>
      <c r="O23" s="341">
        <f t="shared" si="15"/>
        <v>-17.8</v>
      </c>
      <c r="P23" s="385">
        <f t="shared" si="8"/>
        <v>38411</v>
      </c>
      <c r="Q23" s="383">
        <f t="shared" si="9"/>
        <v>0</v>
      </c>
      <c r="R23" s="110">
        <f t="shared" si="10"/>
        <v>44903</v>
      </c>
      <c r="S23" s="383">
        <f t="shared" si="11"/>
        <v>0</v>
      </c>
      <c r="T23" s="370">
        <f t="shared" si="12"/>
        <v>-6492</v>
      </c>
      <c r="U23" s="342">
        <f t="shared" si="16"/>
        <v>-14.5</v>
      </c>
      <c r="V23" s="112">
        <v>-9.2</v>
      </c>
      <c r="W23" s="250">
        <v>31.7</v>
      </c>
      <c r="X23" s="343">
        <v>3.2</v>
      </c>
      <c r="Y23" s="87"/>
    </row>
    <row r="24" spans="1:25" ht="30" customHeight="1">
      <c r="A24" s="489"/>
      <c r="C24" s="109" t="s">
        <v>172</v>
      </c>
      <c r="D24" s="382">
        <v>25546042</v>
      </c>
      <c r="E24" s="383">
        <f t="shared" si="0"/>
        <v>4.5</v>
      </c>
      <c r="F24" s="384">
        <v>21742629</v>
      </c>
      <c r="G24" s="383">
        <f t="shared" si="1"/>
        <v>3.9</v>
      </c>
      <c r="H24" s="110">
        <f t="shared" si="17"/>
        <v>3803413</v>
      </c>
      <c r="I24" s="341">
        <f t="shared" si="14"/>
        <v>17.5</v>
      </c>
      <c r="J24" s="385">
        <v>14079098</v>
      </c>
      <c r="K24" s="383">
        <f t="shared" si="4"/>
        <v>6.4</v>
      </c>
      <c r="L24" s="110">
        <v>13711506</v>
      </c>
      <c r="M24" s="383">
        <f t="shared" si="5"/>
        <v>6.3</v>
      </c>
      <c r="N24" s="110">
        <f t="shared" si="6"/>
        <v>367592</v>
      </c>
      <c r="O24" s="341">
        <f t="shared" si="15"/>
        <v>2.7</v>
      </c>
      <c r="P24" s="385">
        <f t="shared" si="8"/>
        <v>39625140</v>
      </c>
      <c r="Q24" s="383">
        <f t="shared" si="9"/>
        <v>5</v>
      </c>
      <c r="R24" s="110">
        <f t="shared" si="10"/>
        <v>35454135</v>
      </c>
      <c r="S24" s="383">
        <f t="shared" si="11"/>
        <v>4.6</v>
      </c>
      <c r="T24" s="370">
        <f t="shared" si="12"/>
        <v>4171005</v>
      </c>
      <c r="U24" s="342">
        <f t="shared" si="16"/>
        <v>11.8</v>
      </c>
      <c r="V24" s="112">
        <v>6.4</v>
      </c>
      <c r="W24" s="250" t="s">
        <v>302</v>
      </c>
      <c r="X24" s="343"/>
      <c r="Y24" s="87"/>
    </row>
    <row r="25" spans="1:25" ht="30" customHeight="1">
      <c r="A25" s="489"/>
      <c r="C25" s="113" t="s">
        <v>173</v>
      </c>
      <c r="D25" s="382">
        <v>2715471</v>
      </c>
      <c r="E25" s="383">
        <f t="shared" si="0"/>
        <v>0.5</v>
      </c>
      <c r="F25" s="384">
        <v>2374195</v>
      </c>
      <c r="G25" s="383">
        <f t="shared" si="1"/>
        <v>0.4</v>
      </c>
      <c r="H25" s="110">
        <f t="shared" si="17"/>
        <v>341276</v>
      </c>
      <c r="I25" s="341">
        <f t="shared" si="14"/>
        <v>14.4</v>
      </c>
      <c r="J25" s="385">
        <v>1217569</v>
      </c>
      <c r="K25" s="383">
        <f t="shared" si="4"/>
        <v>0.6</v>
      </c>
      <c r="L25" s="110">
        <v>1027374</v>
      </c>
      <c r="M25" s="383">
        <f t="shared" si="5"/>
        <v>0.5</v>
      </c>
      <c r="N25" s="110">
        <f t="shared" si="6"/>
        <v>190195</v>
      </c>
      <c r="O25" s="341">
        <f t="shared" si="15"/>
        <v>18.5</v>
      </c>
      <c r="P25" s="385">
        <f t="shared" si="8"/>
        <v>3933040</v>
      </c>
      <c r="Q25" s="383">
        <f t="shared" si="9"/>
        <v>0.5</v>
      </c>
      <c r="R25" s="110">
        <f t="shared" si="10"/>
        <v>3401569</v>
      </c>
      <c r="S25" s="383">
        <f t="shared" si="11"/>
        <v>0.4</v>
      </c>
      <c r="T25" s="370">
        <f t="shared" si="12"/>
        <v>531471</v>
      </c>
      <c r="U25" s="342">
        <f t="shared" si="16"/>
        <v>15.6</v>
      </c>
      <c r="V25" s="112">
        <v>-12.9</v>
      </c>
      <c r="W25" s="250">
        <v>0</v>
      </c>
      <c r="X25" s="343"/>
      <c r="Y25" s="87"/>
    </row>
    <row r="26" spans="1:25" ht="30" customHeight="1">
      <c r="A26" s="489"/>
      <c r="C26" s="113" t="s">
        <v>174</v>
      </c>
      <c r="D26" s="382">
        <v>699215</v>
      </c>
      <c r="E26" s="383">
        <f t="shared" si="0"/>
        <v>0.1</v>
      </c>
      <c r="F26" s="384">
        <v>591914</v>
      </c>
      <c r="G26" s="383">
        <f t="shared" si="1"/>
        <v>0.1</v>
      </c>
      <c r="H26" s="110">
        <f t="shared" si="17"/>
        <v>107301</v>
      </c>
      <c r="I26" s="341">
        <f t="shared" si="14"/>
        <v>18.1</v>
      </c>
      <c r="J26" s="385">
        <v>1009608</v>
      </c>
      <c r="K26" s="383">
        <f t="shared" si="4"/>
        <v>0.5</v>
      </c>
      <c r="L26" s="110">
        <v>525923</v>
      </c>
      <c r="M26" s="383">
        <f t="shared" si="5"/>
        <v>0.2</v>
      </c>
      <c r="N26" s="110">
        <f t="shared" si="6"/>
        <v>483685</v>
      </c>
      <c r="O26" s="341">
        <f t="shared" si="15"/>
        <v>92</v>
      </c>
      <c r="P26" s="385">
        <f t="shared" si="8"/>
        <v>1708823</v>
      </c>
      <c r="Q26" s="383">
        <f t="shared" si="9"/>
        <v>0.2</v>
      </c>
      <c r="R26" s="110">
        <f t="shared" si="10"/>
        <v>1117837</v>
      </c>
      <c r="S26" s="383">
        <f t="shared" si="11"/>
        <v>0.1</v>
      </c>
      <c r="T26" s="370">
        <f t="shared" si="12"/>
        <v>590986</v>
      </c>
      <c r="U26" s="342">
        <f t="shared" si="16"/>
        <v>52.9</v>
      </c>
      <c r="V26" s="112">
        <v>-40.5</v>
      </c>
      <c r="W26" s="250">
        <v>7.6</v>
      </c>
      <c r="X26" s="343"/>
      <c r="Y26" s="87"/>
    </row>
    <row r="27" spans="1:25" ht="30" customHeight="1">
      <c r="A27" s="489"/>
      <c r="C27" s="113" t="s">
        <v>175</v>
      </c>
      <c r="D27" s="382">
        <v>21929367</v>
      </c>
      <c r="E27" s="383">
        <f t="shared" si="0"/>
        <v>3.9</v>
      </c>
      <c r="F27" s="384">
        <v>17844595</v>
      </c>
      <c r="G27" s="383">
        <f t="shared" si="1"/>
        <v>3.2</v>
      </c>
      <c r="H27" s="110">
        <f t="shared" si="17"/>
        <v>4084772</v>
      </c>
      <c r="I27" s="341">
        <f t="shared" si="14"/>
        <v>22.9</v>
      </c>
      <c r="J27" s="385">
        <v>11076405</v>
      </c>
      <c r="K27" s="383">
        <f t="shared" si="4"/>
        <v>5</v>
      </c>
      <c r="L27" s="110">
        <v>9300653</v>
      </c>
      <c r="M27" s="383">
        <f t="shared" si="5"/>
        <v>4.3</v>
      </c>
      <c r="N27" s="110">
        <f t="shared" si="6"/>
        <v>1775752</v>
      </c>
      <c r="O27" s="341">
        <f t="shared" si="15"/>
        <v>19.1</v>
      </c>
      <c r="P27" s="385">
        <f t="shared" si="8"/>
        <v>33005772</v>
      </c>
      <c r="Q27" s="383">
        <f t="shared" si="9"/>
        <v>4.2</v>
      </c>
      <c r="R27" s="110">
        <f t="shared" si="10"/>
        <v>27145248</v>
      </c>
      <c r="S27" s="383">
        <f t="shared" si="11"/>
        <v>3.5</v>
      </c>
      <c r="T27" s="370">
        <f t="shared" si="12"/>
        <v>5860524</v>
      </c>
      <c r="U27" s="342">
        <f t="shared" si="16"/>
        <v>21.6</v>
      </c>
      <c r="V27" s="112">
        <v>-27.1</v>
      </c>
      <c r="W27" s="250" t="s">
        <v>303</v>
      </c>
      <c r="X27" s="343"/>
      <c r="Y27" s="87"/>
    </row>
    <row r="28" spans="1:25" ht="30" customHeight="1">
      <c r="A28" s="489"/>
      <c r="C28" s="113" t="s">
        <v>176</v>
      </c>
      <c r="D28" s="382">
        <v>15722257</v>
      </c>
      <c r="E28" s="383">
        <f t="shared" si="0"/>
        <v>2.8</v>
      </c>
      <c r="F28" s="384">
        <v>17471559</v>
      </c>
      <c r="G28" s="383">
        <f t="shared" si="1"/>
        <v>3.2</v>
      </c>
      <c r="H28" s="110">
        <f t="shared" si="17"/>
        <v>-1749302</v>
      </c>
      <c r="I28" s="341">
        <f t="shared" si="14"/>
        <v>-10</v>
      </c>
      <c r="J28" s="385">
        <v>5033968</v>
      </c>
      <c r="K28" s="383">
        <f t="shared" si="4"/>
        <v>2.3</v>
      </c>
      <c r="L28" s="110">
        <v>4846126</v>
      </c>
      <c r="M28" s="383">
        <f t="shared" si="5"/>
        <v>2.2</v>
      </c>
      <c r="N28" s="110">
        <f t="shared" si="6"/>
        <v>187842</v>
      </c>
      <c r="O28" s="341">
        <f t="shared" si="15"/>
        <v>3.9</v>
      </c>
      <c r="P28" s="385">
        <f t="shared" si="8"/>
        <v>20756225</v>
      </c>
      <c r="Q28" s="383">
        <f t="shared" si="9"/>
        <v>2.6</v>
      </c>
      <c r="R28" s="110">
        <f t="shared" si="10"/>
        <v>22317685</v>
      </c>
      <c r="S28" s="383">
        <f t="shared" si="11"/>
        <v>2.9</v>
      </c>
      <c r="T28" s="370">
        <f t="shared" si="12"/>
        <v>-1561460</v>
      </c>
      <c r="U28" s="342">
        <f t="shared" si="16"/>
        <v>-7</v>
      </c>
      <c r="V28" s="112">
        <v>-6</v>
      </c>
      <c r="W28" s="250">
        <v>5.4</v>
      </c>
      <c r="X28" s="343"/>
      <c r="Y28" s="87"/>
    </row>
    <row r="29" spans="1:25" ht="30" customHeight="1">
      <c r="A29" s="489"/>
      <c r="C29" s="114" t="s">
        <v>177</v>
      </c>
      <c r="D29" s="382">
        <v>18052367</v>
      </c>
      <c r="E29" s="383">
        <f t="shared" si="0"/>
        <v>3.2</v>
      </c>
      <c r="F29" s="384">
        <v>18927519</v>
      </c>
      <c r="G29" s="383">
        <f t="shared" si="1"/>
        <v>3.4</v>
      </c>
      <c r="H29" s="110">
        <f t="shared" si="17"/>
        <v>-875152</v>
      </c>
      <c r="I29" s="341">
        <f t="shared" si="14"/>
        <v>-4.6</v>
      </c>
      <c r="J29" s="385">
        <v>4674463</v>
      </c>
      <c r="K29" s="383">
        <f t="shared" si="4"/>
        <v>2.1</v>
      </c>
      <c r="L29" s="110">
        <v>5032847</v>
      </c>
      <c r="M29" s="383">
        <f t="shared" si="5"/>
        <v>2.3</v>
      </c>
      <c r="N29" s="110">
        <f t="shared" si="6"/>
        <v>-358384</v>
      </c>
      <c r="O29" s="341">
        <f t="shared" si="15"/>
        <v>-7.1</v>
      </c>
      <c r="P29" s="385">
        <f t="shared" si="8"/>
        <v>22726830</v>
      </c>
      <c r="Q29" s="383">
        <f t="shared" si="9"/>
        <v>2.9</v>
      </c>
      <c r="R29" s="110">
        <f t="shared" si="10"/>
        <v>23960366</v>
      </c>
      <c r="S29" s="383">
        <f t="shared" si="11"/>
        <v>3.1</v>
      </c>
      <c r="T29" s="370">
        <f t="shared" si="12"/>
        <v>-1233536</v>
      </c>
      <c r="U29" s="342">
        <f t="shared" si="16"/>
        <v>-5.1</v>
      </c>
      <c r="V29" s="112">
        <v>-12.2</v>
      </c>
      <c r="W29" s="250">
        <v>21.4</v>
      </c>
      <c r="X29" s="343"/>
      <c r="Y29" s="87"/>
    </row>
    <row r="30" spans="1:25" ht="30" customHeight="1" thickBot="1">
      <c r="A30" s="489"/>
      <c r="C30" s="109" t="s">
        <v>178</v>
      </c>
      <c r="D30" s="390">
        <v>55868766</v>
      </c>
      <c r="E30" s="391">
        <f t="shared" si="0"/>
        <v>9.8</v>
      </c>
      <c r="F30" s="392">
        <v>49693300</v>
      </c>
      <c r="G30" s="391">
        <f t="shared" si="1"/>
        <v>9</v>
      </c>
      <c r="H30" s="115">
        <f t="shared" si="17"/>
        <v>6175466</v>
      </c>
      <c r="I30" s="347">
        <f t="shared" si="14"/>
        <v>12.4</v>
      </c>
      <c r="J30" s="393">
        <v>16089660</v>
      </c>
      <c r="K30" s="391">
        <f t="shared" si="4"/>
        <v>7.3</v>
      </c>
      <c r="L30" s="115">
        <v>18439317</v>
      </c>
      <c r="M30" s="391">
        <f t="shared" si="5"/>
        <v>8.5</v>
      </c>
      <c r="N30" s="115">
        <f t="shared" si="6"/>
        <v>-2349657</v>
      </c>
      <c r="O30" s="347">
        <f t="shared" si="15"/>
        <v>-12.7</v>
      </c>
      <c r="P30" s="393">
        <f t="shared" si="8"/>
        <v>71958426</v>
      </c>
      <c r="Q30" s="391">
        <f t="shared" si="9"/>
        <v>9.1</v>
      </c>
      <c r="R30" s="115">
        <f t="shared" si="10"/>
        <v>68132617</v>
      </c>
      <c r="S30" s="391">
        <f t="shared" si="11"/>
        <v>8.8</v>
      </c>
      <c r="T30" s="373">
        <f t="shared" si="12"/>
        <v>3825809</v>
      </c>
      <c r="U30" s="348">
        <f t="shared" si="16"/>
        <v>5.6</v>
      </c>
      <c r="V30" s="249">
        <v>0.7</v>
      </c>
      <c r="W30" s="251" t="s">
        <v>304</v>
      </c>
      <c r="X30" s="349">
        <v>-10.8</v>
      </c>
      <c r="Y30" s="87"/>
    </row>
    <row r="31" spans="1:25" ht="30" customHeight="1" thickBot="1">
      <c r="A31" s="489"/>
      <c r="C31" s="116" t="s">
        <v>29</v>
      </c>
      <c r="D31" s="394">
        <f>SUM(D5,D6,D7:D15,D19:D30)</f>
        <v>567826999</v>
      </c>
      <c r="E31" s="395">
        <f t="shared" si="0"/>
        <v>100</v>
      </c>
      <c r="F31" s="396">
        <f>SUM(F5,F6,F7:F15,F19:F30)</f>
        <v>554246078</v>
      </c>
      <c r="G31" s="395">
        <v>100</v>
      </c>
      <c r="H31" s="117">
        <f>SUM(H5,H6,H7:H15,H19:H30)</f>
        <v>13580921</v>
      </c>
      <c r="I31" s="350">
        <f t="shared" si="14"/>
        <v>2.5</v>
      </c>
      <c r="J31" s="397">
        <f>SUM(J5,J6,J7:J15,J19:J30)</f>
        <v>220009495</v>
      </c>
      <c r="K31" s="379">
        <f t="shared" si="4"/>
        <v>100</v>
      </c>
      <c r="L31" s="117">
        <f>SUM(L5,L6,L7:L15,L19:L30)</f>
        <v>217614028</v>
      </c>
      <c r="M31" s="395">
        <f t="shared" si="5"/>
        <v>100</v>
      </c>
      <c r="N31" s="117">
        <f>SUM(N5,N6,N7:N15,N19:N30)</f>
        <v>2395467</v>
      </c>
      <c r="O31" s="350">
        <f t="shared" si="15"/>
        <v>1.1</v>
      </c>
      <c r="P31" s="397">
        <f t="shared" si="8"/>
        <v>787836494</v>
      </c>
      <c r="Q31" s="395">
        <f t="shared" si="9"/>
        <v>100</v>
      </c>
      <c r="R31" s="117">
        <f t="shared" si="10"/>
        <v>771860106</v>
      </c>
      <c r="S31" s="395">
        <v>100</v>
      </c>
      <c r="T31" s="374">
        <f>SUM(T18:T30)</f>
        <v>15976388</v>
      </c>
      <c r="U31" s="351">
        <f t="shared" si="16"/>
        <v>2.1</v>
      </c>
      <c r="V31" s="352">
        <v>-1.9</v>
      </c>
      <c r="W31" s="353" t="s">
        <v>300</v>
      </c>
      <c r="X31" s="354">
        <v>0</v>
      </c>
      <c r="Y31" s="87"/>
    </row>
    <row r="32" spans="1:25" ht="30" customHeight="1">
      <c r="A32" s="489"/>
      <c r="C32" s="118" t="s">
        <v>30</v>
      </c>
      <c r="D32" s="378">
        <v>338186793</v>
      </c>
      <c r="E32" s="379">
        <f t="shared" si="0"/>
        <v>59.6</v>
      </c>
      <c r="F32" s="380">
        <v>338694205</v>
      </c>
      <c r="G32" s="379">
        <f>ROUND(F32/$F$31*100,1)</f>
        <v>61.1</v>
      </c>
      <c r="H32" s="108">
        <f>D32-F32</f>
        <v>-507412</v>
      </c>
      <c r="I32" s="336">
        <f>ROUND((D32-F32)/F32*100,1)</f>
        <v>-0.1</v>
      </c>
      <c r="J32" s="381">
        <v>140775816</v>
      </c>
      <c r="K32" s="379">
        <f t="shared" si="4"/>
        <v>64</v>
      </c>
      <c r="L32" s="108">
        <v>140350896</v>
      </c>
      <c r="M32" s="379">
        <f t="shared" si="5"/>
        <v>64.5</v>
      </c>
      <c r="N32" s="108">
        <f>J32-L32</f>
        <v>424920</v>
      </c>
      <c r="O32" s="336">
        <f t="shared" si="15"/>
        <v>0.3</v>
      </c>
      <c r="P32" s="381">
        <f t="shared" si="8"/>
        <v>478962609</v>
      </c>
      <c r="Q32" s="379">
        <f t="shared" si="9"/>
        <v>60.8</v>
      </c>
      <c r="R32" s="108">
        <f t="shared" si="10"/>
        <v>479045101</v>
      </c>
      <c r="S32" s="379">
        <f>ROUND(R32/$R$31*100,1)</f>
        <v>62.1</v>
      </c>
      <c r="T32" s="375">
        <f>P32-R32</f>
        <v>-82492</v>
      </c>
      <c r="U32" s="337">
        <f t="shared" si="16"/>
        <v>0</v>
      </c>
      <c r="V32" s="338">
        <v>0.6</v>
      </c>
      <c r="W32" s="339">
        <v>1.7</v>
      </c>
      <c r="X32" s="340"/>
      <c r="Y32" s="87"/>
    </row>
    <row r="33" spans="1:25" ht="30" customHeight="1">
      <c r="A33" s="489"/>
      <c r="C33" s="119" t="s">
        <v>31</v>
      </c>
      <c r="D33" s="384">
        <f>D5+D20+D21+D25+D26+D27+D28+D29</f>
        <v>293160292</v>
      </c>
      <c r="E33" s="383">
        <f t="shared" si="0"/>
        <v>51.6</v>
      </c>
      <c r="F33" s="384">
        <f>F5+F20+F21+F25+F26+F27+F28+F29</f>
        <v>273365164</v>
      </c>
      <c r="G33" s="383">
        <f>ROUND(F33/$F$31*100,1)</f>
        <v>49.3</v>
      </c>
      <c r="H33" s="110">
        <f>D33-F33</f>
        <v>19795128</v>
      </c>
      <c r="I33" s="341">
        <f t="shared" si="14"/>
        <v>7.2</v>
      </c>
      <c r="J33" s="110">
        <f>J5+J20+J21+J25+J26+J27+J28+J29</f>
        <v>91740256</v>
      </c>
      <c r="K33" s="383">
        <f t="shared" si="4"/>
        <v>41.7</v>
      </c>
      <c r="L33" s="110">
        <f>L5+L20+L21+L25+L26+L27+L28+L29</f>
        <v>84274953</v>
      </c>
      <c r="M33" s="383">
        <f t="shared" si="5"/>
        <v>38.7</v>
      </c>
      <c r="N33" s="110">
        <f>J33-L33</f>
        <v>7465303</v>
      </c>
      <c r="O33" s="341">
        <f t="shared" si="15"/>
        <v>8.9</v>
      </c>
      <c r="P33" s="110">
        <f t="shared" si="8"/>
        <v>384900548</v>
      </c>
      <c r="Q33" s="383">
        <f t="shared" si="9"/>
        <v>48.9</v>
      </c>
      <c r="R33" s="110">
        <f t="shared" si="10"/>
        <v>357640117</v>
      </c>
      <c r="S33" s="383">
        <f>ROUND(R33/$R$31*100,1)</f>
        <v>46.3</v>
      </c>
      <c r="T33" s="370">
        <f>P33-R33</f>
        <v>27260431</v>
      </c>
      <c r="U33" s="342">
        <f t="shared" si="16"/>
        <v>7.6</v>
      </c>
      <c r="V33" s="112">
        <v>-4.3</v>
      </c>
      <c r="W33" s="250">
        <v>1.2</v>
      </c>
      <c r="X33" s="343"/>
      <c r="Y33" s="87"/>
    </row>
    <row r="34" spans="1:25" ht="30" customHeight="1" thickBot="1">
      <c r="A34" s="489"/>
      <c r="C34" s="120" t="s">
        <v>32</v>
      </c>
      <c r="D34" s="392">
        <f>D31-D33</f>
        <v>274666707</v>
      </c>
      <c r="E34" s="391">
        <f t="shared" si="0"/>
        <v>48.4</v>
      </c>
      <c r="F34" s="392">
        <f>F31-F33</f>
        <v>280880914</v>
      </c>
      <c r="G34" s="391">
        <f>ROUND(F34/$F$31*100,1)</f>
        <v>50.7</v>
      </c>
      <c r="H34" s="115">
        <f>D34-F34</f>
        <v>-6214207</v>
      </c>
      <c r="I34" s="347">
        <f t="shared" si="14"/>
        <v>-2.2</v>
      </c>
      <c r="J34" s="115">
        <f>J31-J33</f>
        <v>128269239</v>
      </c>
      <c r="K34" s="391">
        <f t="shared" si="4"/>
        <v>58.3</v>
      </c>
      <c r="L34" s="115">
        <f>L31-L33</f>
        <v>133339075</v>
      </c>
      <c r="M34" s="391">
        <f t="shared" si="5"/>
        <v>61.3</v>
      </c>
      <c r="N34" s="115">
        <f>J34-L34</f>
        <v>-5069836</v>
      </c>
      <c r="O34" s="347">
        <f t="shared" si="15"/>
        <v>-3.8</v>
      </c>
      <c r="P34" s="115">
        <f>D34+J34</f>
        <v>402935946</v>
      </c>
      <c r="Q34" s="391">
        <f t="shared" si="9"/>
        <v>51.1</v>
      </c>
      <c r="R34" s="115">
        <f t="shared" si="10"/>
        <v>414219989</v>
      </c>
      <c r="S34" s="391">
        <f>ROUND(R34/$R$31*100,1)</f>
        <v>53.7</v>
      </c>
      <c r="T34" s="373">
        <f>P34-R34</f>
        <v>-11284043</v>
      </c>
      <c r="U34" s="348">
        <f t="shared" si="16"/>
        <v>-2.7</v>
      </c>
      <c r="V34" s="249">
        <v>0.4</v>
      </c>
      <c r="W34" s="251" t="s">
        <v>305</v>
      </c>
      <c r="X34" s="349"/>
      <c r="Y34" s="87"/>
    </row>
    <row r="35" spans="3:24" ht="17.25">
      <c r="C35" s="121"/>
      <c r="D35" s="358"/>
      <c r="E35" s="122"/>
      <c r="F35" s="358"/>
      <c r="G35" s="122"/>
      <c r="H35" s="123"/>
      <c r="I35" s="124"/>
      <c r="J35" s="368"/>
      <c r="K35" s="122"/>
      <c r="L35" s="368"/>
      <c r="M35" s="122"/>
      <c r="N35" s="123"/>
      <c r="O35" s="125"/>
      <c r="P35" s="368"/>
      <c r="Q35" s="122"/>
      <c r="R35" s="368"/>
      <c r="S35" s="122"/>
      <c r="T35" s="123"/>
      <c r="U35" s="124"/>
      <c r="V35" s="126"/>
      <c r="W35" s="126"/>
      <c r="X35" s="127"/>
    </row>
    <row r="36" spans="3:24" ht="17.25">
      <c r="C36" s="121"/>
      <c r="D36" s="359"/>
      <c r="E36" s="121"/>
      <c r="F36" s="359"/>
      <c r="G36" s="121"/>
      <c r="H36" s="365"/>
      <c r="I36" s="121"/>
      <c r="J36" s="365"/>
      <c r="K36" s="121"/>
      <c r="L36" s="365"/>
      <c r="M36" s="121"/>
      <c r="N36" s="365"/>
      <c r="O36" s="121"/>
      <c r="P36" s="365"/>
      <c r="Q36" s="121"/>
      <c r="R36" s="365"/>
      <c r="S36" s="121"/>
      <c r="T36" s="365"/>
      <c r="U36" s="121"/>
      <c r="V36" s="128"/>
      <c r="W36" s="129"/>
      <c r="X36" s="129"/>
    </row>
    <row r="37" spans="5:19" ht="14.25">
      <c r="E37" s="88"/>
      <c r="G37" s="88"/>
      <c r="I37" s="89"/>
      <c r="K37" s="88"/>
      <c r="M37" s="88"/>
      <c r="Q37" s="88"/>
      <c r="S37" s="88"/>
    </row>
  </sheetData>
  <mergeCells count="3">
    <mergeCell ref="A1:A34"/>
    <mergeCell ref="C3:C4"/>
    <mergeCell ref="B19:B20"/>
  </mergeCells>
  <printOptions/>
  <pageMargins left="0" right="0.3937007874015748" top="0.7874015748031497" bottom="0" header="0" footer="0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1"/>
  <sheetViews>
    <sheetView zoomScale="70" zoomScaleNormal="70" workbookViewId="0" topLeftCell="A1">
      <selection activeCell="I8" sqref="I8"/>
    </sheetView>
  </sheetViews>
  <sheetFormatPr defaultColWidth="9.00390625" defaultRowHeight="28.5" customHeight="1"/>
  <cols>
    <col min="1" max="2" width="9.00390625" style="130" customWidth="1"/>
    <col min="3" max="3" width="3.375" style="130" customWidth="1"/>
    <col min="4" max="4" width="2.75390625" style="130" customWidth="1"/>
    <col min="5" max="5" width="16.375" style="130" customWidth="1"/>
    <col min="6" max="6" width="13.50390625" style="130" customWidth="1"/>
    <col min="7" max="7" width="7.50390625" style="130" customWidth="1"/>
    <col min="8" max="8" width="13.50390625" style="130" customWidth="1"/>
    <col min="9" max="9" width="7.50390625" style="130" customWidth="1"/>
    <col min="10" max="10" width="7.50390625" style="314" customWidth="1"/>
    <col min="11" max="11" width="13.50390625" style="130" customWidth="1"/>
    <col min="12" max="12" width="7.50390625" style="130" customWidth="1"/>
    <col min="13" max="13" width="13.50390625" style="130" customWidth="1"/>
    <col min="14" max="14" width="7.50390625" style="130" customWidth="1"/>
    <col min="15" max="15" width="7.50390625" style="314" customWidth="1"/>
    <col min="16" max="16" width="13.50390625" style="130" customWidth="1"/>
    <col min="17" max="17" width="7.50390625" style="130" customWidth="1"/>
    <col min="18" max="18" width="13.50390625" style="130" customWidth="1"/>
    <col min="19" max="19" width="7.50390625" style="130" customWidth="1"/>
    <col min="20" max="20" width="7.50390625" style="314" customWidth="1"/>
    <col min="21" max="22" width="7.50390625" style="130" customWidth="1"/>
    <col min="23" max="23" width="12.375" style="132" customWidth="1"/>
    <col min="24" max="24" width="12.75390625" style="130" customWidth="1"/>
    <col min="25" max="16384" width="10.75390625" style="130" customWidth="1"/>
  </cols>
  <sheetData>
    <row r="1" spans="1:3" ht="28.5" customHeight="1">
      <c r="A1" s="493"/>
      <c r="C1" s="131" t="s">
        <v>33</v>
      </c>
    </row>
    <row r="2" spans="1:23" ht="14.25" thickBot="1">
      <c r="A2" s="493"/>
      <c r="W2" s="133" t="s">
        <v>133</v>
      </c>
    </row>
    <row r="3" spans="1:24" ht="28.5" customHeight="1">
      <c r="A3" s="493"/>
      <c r="C3" s="498" t="s">
        <v>442</v>
      </c>
      <c r="D3" s="499"/>
      <c r="E3" s="500"/>
      <c r="F3" s="496" t="s">
        <v>18</v>
      </c>
      <c r="G3" s="504"/>
      <c r="H3" s="504"/>
      <c r="I3" s="504"/>
      <c r="J3" s="497"/>
      <c r="K3" s="496" t="s">
        <v>22</v>
      </c>
      <c r="L3" s="504"/>
      <c r="M3" s="504"/>
      <c r="N3" s="504"/>
      <c r="O3" s="497"/>
      <c r="P3" s="496" t="s">
        <v>20</v>
      </c>
      <c r="Q3" s="504"/>
      <c r="R3" s="504"/>
      <c r="S3" s="504"/>
      <c r="T3" s="497"/>
      <c r="U3" s="496" t="s">
        <v>454</v>
      </c>
      <c r="V3" s="497" t="s">
        <v>444</v>
      </c>
      <c r="W3" s="494" t="s">
        <v>481</v>
      </c>
      <c r="X3" s="134"/>
    </row>
    <row r="4" spans="1:24" ht="28.5" customHeight="1" thickBot="1">
      <c r="A4" s="493"/>
      <c r="C4" s="501"/>
      <c r="D4" s="502"/>
      <c r="E4" s="503"/>
      <c r="F4" s="135" t="s">
        <v>437</v>
      </c>
      <c r="G4" s="136" t="s">
        <v>23</v>
      </c>
      <c r="H4" s="136" t="s">
        <v>438</v>
      </c>
      <c r="I4" s="136" t="s">
        <v>23</v>
      </c>
      <c r="J4" s="315" t="s">
        <v>25</v>
      </c>
      <c r="K4" s="135" t="s">
        <v>437</v>
      </c>
      <c r="L4" s="136" t="s">
        <v>23</v>
      </c>
      <c r="M4" s="136" t="s">
        <v>438</v>
      </c>
      <c r="N4" s="136" t="s">
        <v>23</v>
      </c>
      <c r="O4" s="315" t="s">
        <v>25</v>
      </c>
      <c r="P4" s="135" t="s">
        <v>437</v>
      </c>
      <c r="Q4" s="136" t="s">
        <v>23</v>
      </c>
      <c r="R4" s="136" t="s">
        <v>438</v>
      </c>
      <c r="S4" s="136" t="s">
        <v>23</v>
      </c>
      <c r="T4" s="315" t="s">
        <v>25</v>
      </c>
      <c r="U4" s="137" t="s">
        <v>439</v>
      </c>
      <c r="V4" s="138" t="s">
        <v>440</v>
      </c>
      <c r="W4" s="495"/>
      <c r="X4" s="134"/>
    </row>
    <row r="5" spans="1:24" ht="28.5" customHeight="1">
      <c r="A5" s="493"/>
      <c r="C5" s="139" t="s">
        <v>34</v>
      </c>
      <c r="D5" s="508" t="s">
        <v>445</v>
      </c>
      <c r="E5" s="140" t="s">
        <v>35</v>
      </c>
      <c r="F5" s="285">
        <v>2165182</v>
      </c>
      <c r="G5" s="286">
        <v>1.0017824213391608</v>
      </c>
      <c r="H5" s="287">
        <v>2120228</v>
      </c>
      <c r="I5" s="286">
        <v>1.0682387407790994</v>
      </c>
      <c r="J5" s="316">
        <v>2.1202436719069837</v>
      </c>
      <c r="K5" s="285">
        <v>589351</v>
      </c>
      <c r="L5" s="288">
        <v>0.9314796453590288</v>
      </c>
      <c r="M5" s="287">
        <v>569504</v>
      </c>
      <c r="N5" s="286">
        <v>0.9869693748933426</v>
      </c>
      <c r="O5" s="316">
        <v>3.4849623532055967</v>
      </c>
      <c r="P5" s="289">
        <v>2754533</v>
      </c>
      <c r="Q5" s="286">
        <v>0.9858624790894166</v>
      </c>
      <c r="R5" s="290">
        <v>2689732</v>
      </c>
      <c r="S5" s="286">
        <v>1.0499336114308175</v>
      </c>
      <c r="T5" s="316">
        <v>2.409199132106842</v>
      </c>
      <c r="U5" s="291">
        <v>15.840805953346388</v>
      </c>
      <c r="V5" s="332">
        <v>13.4</v>
      </c>
      <c r="W5" s="333">
        <v>6.3</v>
      </c>
      <c r="X5" s="134"/>
    </row>
    <row r="6" spans="1:24" ht="28.5" customHeight="1">
      <c r="A6" s="493"/>
      <c r="C6" s="510" t="s">
        <v>446</v>
      </c>
      <c r="D6" s="507"/>
      <c r="E6" s="141" t="s">
        <v>36</v>
      </c>
      <c r="F6" s="292">
        <v>66119697</v>
      </c>
      <c r="G6" s="293">
        <v>30.592139671802027</v>
      </c>
      <c r="H6" s="294">
        <v>52073315</v>
      </c>
      <c r="I6" s="293">
        <v>26.23620310824751</v>
      </c>
      <c r="J6" s="317">
        <v>26.974241989395143</v>
      </c>
      <c r="K6" s="292">
        <v>13963075</v>
      </c>
      <c r="L6" s="295">
        <v>22.06888619705663</v>
      </c>
      <c r="M6" s="294">
        <v>10177866</v>
      </c>
      <c r="N6" s="293">
        <v>17.638580315095602</v>
      </c>
      <c r="O6" s="317">
        <v>37.19059574963946</v>
      </c>
      <c r="P6" s="296">
        <v>80082772</v>
      </c>
      <c r="Q6" s="293">
        <v>28.66206363702033</v>
      </c>
      <c r="R6" s="297">
        <v>62251181</v>
      </c>
      <c r="S6" s="293">
        <v>24.29967271206332</v>
      </c>
      <c r="T6" s="317">
        <v>28.644582662616475</v>
      </c>
      <c r="U6" s="298">
        <v>8.849440229860477</v>
      </c>
      <c r="V6" s="331">
        <v>2.8</v>
      </c>
      <c r="W6" s="299">
        <v>21.3</v>
      </c>
      <c r="X6" s="134"/>
    </row>
    <row r="7" spans="1:24" ht="28.5" customHeight="1">
      <c r="A7" s="493"/>
      <c r="C7" s="511"/>
      <c r="D7" s="509"/>
      <c r="E7" s="141" t="s">
        <v>37</v>
      </c>
      <c r="F7" s="292">
        <v>68284879</v>
      </c>
      <c r="G7" s="293">
        <v>31.593922093141185</v>
      </c>
      <c r="H7" s="294">
        <v>54193543</v>
      </c>
      <c r="I7" s="293">
        <v>27.304441849026606</v>
      </c>
      <c r="J7" s="317">
        <v>26.00187258470995</v>
      </c>
      <c r="K7" s="296">
        <v>14552426</v>
      </c>
      <c r="L7" s="295">
        <v>23.00036584241566</v>
      </c>
      <c r="M7" s="297">
        <v>10747370</v>
      </c>
      <c r="N7" s="293">
        <v>18.625549689988944</v>
      </c>
      <c r="O7" s="317">
        <v>35.40453152724806</v>
      </c>
      <c r="P7" s="296">
        <v>82837305</v>
      </c>
      <c r="Q7" s="293">
        <v>29.647926116109748</v>
      </c>
      <c r="R7" s="297">
        <v>64940913</v>
      </c>
      <c r="S7" s="293">
        <v>25.34960632349414</v>
      </c>
      <c r="T7" s="317">
        <v>27.5579618044483</v>
      </c>
      <c r="U7" s="298">
        <v>9.12221502816604</v>
      </c>
      <c r="V7" s="331">
        <v>3.2</v>
      </c>
      <c r="W7" s="299">
        <v>20.9</v>
      </c>
      <c r="X7" s="134"/>
    </row>
    <row r="8" spans="1:24" ht="28.5" customHeight="1">
      <c r="A8" s="493"/>
      <c r="C8" s="511"/>
      <c r="D8" s="506" t="s">
        <v>447</v>
      </c>
      <c r="E8" s="141" t="s">
        <v>35</v>
      </c>
      <c r="F8" s="292">
        <v>4643059</v>
      </c>
      <c r="G8" s="293">
        <v>2.1482419895605003</v>
      </c>
      <c r="H8" s="294">
        <v>4609815</v>
      </c>
      <c r="I8" s="293">
        <v>2.32257236996427</v>
      </c>
      <c r="J8" s="317">
        <v>0.7211569227832353</v>
      </c>
      <c r="K8" s="292">
        <v>1073796</v>
      </c>
      <c r="L8" s="295">
        <v>1.6971535082963187</v>
      </c>
      <c r="M8" s="294">
        <v>1076398</v>
      </c>
      <c r="N8" s="293">
        <v>1.865433537247226</v>
      </c>
      <c r="O8" s="317">
        <v>-0.2417321474027265</v>
      </c>
      <c r="P8" s="296">
        <v>5716855</v>
      </c>
      <c r="Q8" s="293">
        <v>2.046093781738947</v>
      </c>
      <c r="R8" s="297">
        <v>5686213</v>
      </c>
      <c r="S8" s="293">
        <v>2.219606321542393</v>
      </c>
      <c r="T8" s="317">
        <v>0.5388823809449277</v>
      </c>
      <c r="U8" s="298">
        <v>1.2045308599962694</v>
      </c>
      <c r="V8" s="331">
        <v>0.4</v>
      </c>
      <c r="W8" s="299">
        <v>-0.7</v>
      </c>
      <c r="X8" s="134"/>
    </row>
    <row r="9" spans="1:24" ht="28.5" customHeight="1">
      <c r="A9" s="493"/>
      <c r="C9" s="511"/>
      <c r="D9" s="507"/>
      <c r="E9" s="141" t="s">
        <v>38</v>
      </c>
      <c r="F9" s="292">
        <v>16535826</v>
      </c>
      <c r="G9" s="293">
        <v>7.65076552877451</v>
      </c>
      <c r="H9" s="294">
        <v>15221516</v>
      </c>
      <c r="I9" s="293">
        <v>7.669087043746671</v>
      </c>
      <c r="J9" s="317">
        <v>8.6345538775507</v>
      </c>
      <c r="K9" s="292">
        <v>7661571</v>
      </c>
      <c r="L9" s="295">
        <v>12.109248033808411</v>
      </c>
      <c r="M9" s="294">
        <v>5197767</v>
      </c>
      <c r="N9" s="293">
        <v>9.007903099594111</v>
      </c>
      <c r="O9" s="317">
        <v>47.40120132356837</v>
      </c>
      <c r="P9" s="296">
        <v>24197397</v>
      </c>
      <c r="Q9" s="293">
        <v>8.660381194899756</v>
      </c>
      <c r="R9" s="297">
        <v>20419283</v>
      </c>
      <c r="S9" s="293">
        <v>7.970642258417531</v>
      </c>
      <c r="T9" s="317">
        <v>18.502677101835555</v>
      </c>
      <c r="U9" s="298">
        <v>13.490548273082299</v>
      </c>
      <c r="V9" s="331">
        <v>6.6</v>
      </c>
      <c r="W9" s="299">
        <v>30.9</v>
      </c>
      <c r="X9" s="134"/>
    </row>
    <row r="10" spans="1:24" ht="28.5" customHeight="1">
      <c r="A10" s="493"/>
      <c r="C10" s="511"/>
      <c r="D10" s="509"/>
      <c r="E10" s="141" t="s">
        <v>37</v>
      </c>
      <c r="F10" s="292">
        <v>21178885</v>
      </c>
      <c r="G10" s="293">
        <v>9.79900751833501</v>
      </c>
      <c r="H10" s="294">
        <v>19831331</v>
      </c>
      <c r="I10" s="293">
        <v>9.991659413710941</v>
      </c>
      <c r="J10" s="317">
        <v>6.79507593312824</v>
      </c>
      <c r="K10" s="296">
        <v>8735367</v>
      </c>
      <c r="L10" s="295">
        <v>13.80640154210473</v>
      </c>
      <c r="M10" s="297">
        <v>6274165</v>
      </c>
      <c r="N10" s="293">
        <v>10.873336636841339</v>
      </c>
      <c r="O10" s="317">
        <v>39.22756255214838</v>
      </c>
      <c r="P10" s="296">
        <v>29914252</v>
      </c>
      <c r="Q10" s="293">
        <v>10.706474976638704</v>
      </c>
      <c r="R10" s="297">
        <v>26105496</v>
      </c>
      <c r="S10" s="293">
        <v>10.190248579959924</v>
      </c>
      <c r="T10" s="317">
        <v>14.589862609773817</v>
      </c>
      <c r="U10" s="298">
        <v>10.566884557574838</v>
      </c>
      <c r="V10" s="331">
        <v>5</v>
      </c>
      <c r="W10" s="299">
        <v>25.4</v>
      </c>
      <c r="X10" s="134"/>
    </row>
    <row r="11" spans="1:24" ht="28.5" customHeight="1">
      <c r="A11" s="493"/>
      <c r="C11" s="512"/>
      <c r="D11" s="141"/>
      <c r="E11" s="142" t="s">
        <v>40</v>
      </c>
      <c r="F11" s="292">
        <v>89463764</v>
      </c>
      <c r="G11" s="293">
        <v>41.39292961147619</v>
      </c>
      <c r="H11" s="294">
        <v>74024874</v>
      </c>
      <c r="I11" s="293">
        <v>37.296101262737544</v>
      </c>
      <c r="J11" s="317">
        <v>20.85635431138998</v>
      </c>
      <c r="K11" s="296">
        <v>23287793</v>
      </c>
      <c r="L11" s="295">
        <v>36.80676738452039</v>
      </c>
      <c r="M11" s="297">
        <v>17021535</v>
      </c>
      <c r="N11" s="293">
        <v>29.49888632683028</v>
      </c>
      <c r="O11" s="317">
        <v>36.81370687191255</v>
      </c>
      <c r="P11" s="296">
        <v>112751557</v>
      </c>
      <c r="Q11" s="293">
        <v>40.354401092748446</v>
      </c>
      <c r="R11" s="297">
        <v>91046409</v>
      </c>
      <c r="S11" s="293">
        <v>35.53985490345406</v>
      </c>
      <c r="T11" s="317">
        <v>23.839653027940948</v>
      </c>
      <c r="U11" s="298">
        <v>9.532566344946224</v>
      </c>
      <c r="V11" s="331">
        <v>3.7</v>
      </c>
      <c r="W11" s="299">
        <v>22.1</v>
      </c>
      <c r="X11" s="134"/>
    </row>
    <row r="12" spans="1:24" ht="28.5" customHeight="1">
      <c r="A12" s="493"/>
      <c r="C12" s="143" t="s">
        <v>41</v>
      </c>
      <c r="D12" s="506" t="s">
        <v>448</v>
      </c>
      <c r="E12" s="141" t="s">
        <v>42</v>
      </c>
      <c r="F12" s="292">
        <v>33101423</v>
      </c>
      <c r="G12" s="293">
        <v>15.315305449016197</v>
      </c>
      <c r="H12" s="294">
        <v>32844205</v>
      </c>
      <c r="I12" s="293">
        <v>16.54796191310114</v>
      </c>
      <c r="J12" s="317">
        <v>0.7831457634611646</v>
      </c>
      <c r="K12" s="292">
        <v>7264225</v>
      </c>
      <c r="L12" s="295">
        <v>11.481235675867508</v>
      </c>
      <c r="M12" s="294">
        <v>7280216</v>
      </c>
      <c r="N12" s="293">
        <v>12.616856483200314</v>
      </c>
      <c r="O12" s="317">
        <v>-0.219650076316417</v>
      </c>
      <c r="P12" s="296">
        <v>40365648</v>
      </c>
      <c r="Q12" s="293">
        <v>14.447086968038047</v>
      </c>
      <c r="R12" s="297">
        <v>40124421</v>
      </c>
      <c r="S12" s="293">
        <v>15.662518885562033</v>
      </c>
      <c r="T12" s="317">
        <v>0.601197460269894</v>
      </c>
      <c r="U12" s="298">
        <v>-0.04859514373892002</v>
      </c>
      <c r="V12" s="331" t="s">
        <v>306</v>
      </c>
      <c r="W12" s="299">
        <v>0.8</v>
      </c>
      <c r="X12" s="134"/>
    </row>
    <row r="13" spans="1:24" ht="28.5" customHeight="1">
      <c r="A13" s="493"/>
      <c r="C13" s="510" t="s">
        <v>449</v>
      </c>
      <c r="D13" s="507"/>
      <c r="E13" s="141" t="s">
        <v>43</v>
      </c>
      <c r="F13" s="292">
        <v>41387036</v>
      </c>
      <c r="G13" s="293">
        <v>19.14887761681513</v>
      </c>
      <c r="H13" s="294">
        <v>40108357</v>
      </c>
      <c r="I13" s="293">
        <v>20.207874236355046</v>
      </c>
      <c r="J13" s="317">
        <v>3.1880612810941122</v>
      </c>
      <c r="K13" s="292">
        <v>12460333</v>
      </c>
      <c r="L13" s="295">
        <v>19.69377597373281</v>
      </c>
      <c r="M13" s="294">
        <v>12285498</v>
      </c>
      <c r="N13" s="293">
        <v>21.291176675341017</v>
      </c>
      <c r="O13" s="317">
        <v>1.42310063458559</v>
      </c>
      <c r="P13" s="296">
        <v>53847369</v>
      </c>
      <c r="Q13" s="293">
        <v>19.272268909024724</v>
      </c>
      <c r="R13" s="297">
        <v>52393855</v>
      </c>
      <c r="S13" s="293">
        <v>20.451877509332753</v>
      </c>
      <c r="T13" s="317">
        <v>2.774207013398804</v>
      </c>
      <c r="U13" s="298">
        <v>-9.606901073455958</v>
      </c>
      <c r="V13" s="331">
        <v>3.4</v>
      </c>
      <c r="W13" s="299">
        <v>3.4</v>
      </c>
      <c r="X13" s="134"/>
    </row>
    <row r="14" spans="1:24" ht="28.5" customHeight="1">
      <c r="A14" s="493"/>
      <c r="B14" s="505">
        <v>20</v>
      </c>
      <c r="C14" s="511"/>
      <c r="D14" s="507"/>
      <c r="E14" s="141" t="s">
        <v>44</v>
      </c>
      <c r="F14" s="292">
        <v>22548764</v>
      </c>
      <c r="G14" s="293">
        <v>10.43282061190482</v>
      </c>
      <c r="H14" s="294">
        <v>22404639</v>
      </c>
      <c r="I14" s="293">
        <v>11.288174362837536</v>
      </c>
      <c r="J14" s="317">
        <v>0.6432819560270532</v>
      </c>
      <c r="K14" s="292">
        <v>15687009</v>
      </c>
      <c r="L14" s="295">
        <v>24.793594275845624</v>
      </c>
      <c r="M14" s="294">
        <v>16512966</v>
      </c>
      <c r="N14" s="293">
        <v>28.6175193337624</v>
      </c>
      <c r="O14" s="317">
        <v>-5.001869440050927</v>
      </c>
      <c r="P14" s="296">
        <v>38235773</v>
      </c>
      <c r="Q14" s="293">
        <v>13.68479301561469</v>
      </c>
      <c r="R14" s="297">
        <v>38917605</v>
      </c>
      <c r="S14" s="293">
        <v>15.191439729269698</v>
      </c>
      <c r="T14" s="317">
        <v>-1.751988592309316</v>
      </c>
      <c r="U14" s="298">
        <v>-1.8778512831521113</v>
      </c>
      <c r="V14" s="331">
        <v>2</v>
      </c>
      <c r="W14" s="299">
        <v>2.8</v>
      </c>
      <c r="X14" s="134"/>
    </row>
    <row r="15" spans="1:24" ht="28.5" customHeight="1">
      <c r="A15" s="493"/>
      <c r="B15" s="505"/>
      <c r="C15" s="511"/>
      <c r="D15" s="507"/>
      <c r="E15" s="141" t="s">
        <v>45</v>
      </c>
      <c r="F15" s="292">
        <v>97037223</v>
      </c>
      <c r="G15" s="293">
        <v>44.897003677736144</v>
      </c>
      <c r="H15" s="294">
        <v>95357201</v>
      </c>
      <c r="I15" s="293">
        <v>48.044010512293724</v>
      </c>
      <c r="J15" s="317">
        <v>1.7618197497218904</v>
      </c>
      <c r="K15" s="296">
        <v>35411567</v>
      </c>
      <c r="L15" s="295">
        <v>55.968605925445935</v>
      </c>
      <c r="M15" s="297">
        <v>36078680</v>
      </c>
      <c r="N15" s="293">
        <v>62.525552492303724</v>
      </c>
      <c r="O15" s="317">
        <v>-1.849050464152236</v>
      </c>
      <c r="P15" s="296">
        <v>132448790</v>
      </c>
      <c r="Q15" s="293">
        <v>47.40414889267746</v>
      </c>
      <c r="R15" s="297">
        <v>131435881</v>
      </c>
      <c r="S15" s="293">
        <v>51.305836124164486</v>
      </c>
      <c r="T15" s="317">
        <v>0.7706487697982563</v>
      </c>
      <c r="U15" s="298">
        <v>-4.596609571977537</v>
      </c>
      <c r="V15" s="331">
        <v>1.5</v>
      </c>
      <c r="W15" s="299">
        <v>2.2</v>
      </c>
      <c r="X15" s="134"/>
    </row>
    <row r="16" spans="1:24" ht="28.5" customHeight="1">
      <c r="A16" s="493"/>
      <c r="B16" s="505"/>
      <c r="C16" s="511"/>
      <c r="D16" s="513" t="s">
        <v>450</v>
      </c>
      <c r="E16" s="144" t="s">
        <v>451</v>
      </c>
      <c r="F16" s="292">
        <v>982489</v>
      </c>
      <c r="G16" s="293">
        <v>0.45457620161219275</v>
      </c>
      <c r="H16" s="294">
        <v>568743</v>
      </c>
      <c r="I16" s="293">
        <v>0.2865509304409372</v>
      </c>
      <c r="J16" s="317">
        <v>72.74744480371626</v>
      </c>
      <c r="K16" s="296">
        <v>504321</v>
      </c>
      <c r="L16" s="295">
        <v>0.7970882313377101</v>
      </c>
      <c r="M16" s="297">
        <v>505620</v>
      </c>
      <c r="N16" s="293">
        <v>0.8762562779779807</v>
      </c>
      <c r="O16" s="317">
        <v>-0.2569123056841106</v>
      </c>
      <c r="P16" s="296">
        <v>1486810</v>
      </c>
      <c r="Q16" s="293">
        <v>0.5321374594295787</v>
      </c>
      <c r="R16" s="297">
        <v>1074363</v>
      </c>
      <c r="S16" s="293">
        <v>0.4193762890048702</v>
      </c>
      <c r="T16" s="317">
        <v>38.389911044963384</v>
      </c>
      <c r="U16" s="298">
        <v>-4.68813209274597</v>
      </c>
      <c r="V16" s="331" t="s">
        <v>307</v>
      </c>
      <c r="W16" s="299">
        <v>-2</v>
      </c>
      <c r="X16" s="134"/>
    </row>
    <row r="17" spans="1:24" ht="28.5" customHeight="1">
      <c r="A17" s="493"/>
      <c r="B17" s="145"/>
      <c r="C17" s="511"/>
      <c r="D17" s="514"/>
      <c r="E17" s="144" t="s">
        <v>452</v>
      </c>
      <c r="F17" s="296">
        <v>89863</v>
      </c>
      <c r="G17" s="293">
        <v>0.04157764738890357</v>
      </c>
      <c r="H17" s="297">
        <v>92968</v>
      </c>
      <c r="I17" s="293">
        <v>0.04684025456354285</v>
      </c>
      <c r="J17" s="317">
        <v>-3.339858876172446</v>
      </c>
      <c r="K17" s="292">
        <v>19495</v>
      </c>
      <c r="L17" s="295">
        <v>0.03081219118364823</v>
      </c>
      <c r="M17" s="294">
        <v>19160</v>
      </c>
      <c r="N17" s="293">
        <v>0.03320491730164572</v>
      </c>
      <c r="O17" s="317">
        <v>1.7484342379958244</v>
      </c>
      <c r="P17" s="296">
        <v>109358</v>
      </c>
      <c r="Q17" s="293">
        <v>0.03913982841674448</v>
      </c>
      <c r="R17" s="297">
        <v>112128</v>
      </c>
      <c r="S17" s="293">
        <v>0.04376902828330656</v>
      </c>
      <c r="T17" s="317">
        <v>-2.47039098173516</v>
      </c>
      <c r="U17" s="298">
        <v>-11.77761866920541</v>
      </c>
      <c r="V17" s="331" t="s">
        <v>308</v>
      </c>
      <c r="W17" s="299">
        <v>-2</v>
      </c>
      <c r="X17" s="134"/>
    </row>
    <row r="18" spans="1:24" ht="28.5" customHeight="1">
      <c r="A18" s="493"/>
      <c r="B18" s="145"/>
      <c r="C18" s="511"/>
      <c r="D18" s="515"/>
      <c r="E18" s="144" t="s">
        <v>453</v>
      </c>
      <c r="F18" s="292">
        <v>1072352</v>
      </c>
      <c r="G18" s="293">
        <v>0.4961538490010964</v>
      </c>
      <c r="H18" s="294">
        <v>661711</v>
      </c>
      <c r="I18" s="293">
        <v>0.33339118500448006</v>
      </c>
      <c r="J18" s="317">
        <v>62.0574540849404</v>
      </c>
      <c r="K18" s="297">
        <v>523816</v>
      </c>
      <c r="L18" s="295">
        <v>0.8279004225213583</v>
      </c>
      <c r="M18" s="297">
        <v>524780</v>
      </c>
      <c r="N18" s="293">
        <v>0.9094611952796264</v>
      </c>
      <c r="O18" s="317">
        <v>-0.18369602500095278</v>
      </c>
      <c r="P18" s="296">
        <v>1596168</v>
      </c>
      <c r="Q18" s="293">
        <v>0.571277287846323</v>
      </c>
      <c r="R18" s="297">
        <v>1186491</v>
      </c>
      <c r="S18" s="293">
        <v>0.46314531728817676</v>
      </c>
      <c r="T18" s="317">
        <v>34.528454071712304</v>
      </c>
      <c r="U18" s="298">
        <v>-5.406500013951949</v>
      </c>
      <c r="V18" s="331" t="s">
        <v>309</v>
      </c>
      <c r="W18" s="299">
        <v>-2</v>
      </c>
      <c r="X18" s="134"/>
    </row>
    <row r="19" spans="1:24" ht="28.5" customHeight="1">
      <c r="A19" s="493"/>
      <c r="C19" s="512"/>
      <c r="D19" s="141"/>
      <c r="E19" s="142" t="s">
        <v>40</v>
      </c>
      <c r="F19" s="292">
        <v>98109575</v>
      </c>
      <c r="G19" s="293">
        <v>45.39315752673724</v>
      </c>
      <c r="H19" s="294">
        <v>96018912</v>
      </c>
      <c r="I19" s="293">
        <v>48.3774016972982</v>
      </c>
      <c r="J19" s="317">
        <v>2.1773450213641246</v>
      </c>
      <c r="K19" s="296">
        <v>35935383</v>
      </c>
      <c r="L19" s="295">
        <v>56.7965063479673</v>
      </c>
      <c r="M19" s="297">
        <v>36603460</v>
      </c>
      <c r="N19" s="293">
        <v>63.43501368758335</v>
      </c>
      <c r="O19" s="317">
        <v>-1.825174450721325</v>
      </c>
      <c r="P19" s="296">
        <v>134044958</v>
      </c>
      <c r="Q19" s="293">
        <v>47.97542618052378</v>
      </c>
      <c r="R19" s="297">
        <v>132622372</v>
      </c>
      <c r="S19" s="293">
        <v>51.76898144145265</v>
      </c>
      <c r="T19" s="317">
        <v>1.0726591438132325</v>
      </c>
      <c r="U19" s="298">
        <v>-4.603916640506102</v>
      </c>
      <c r="V19" s="331">
        <v>1.5</v>
      </c>
      <c r="W19" s="299">
        <v>2.2</v>
      </c>
      <c r="X19" s="134"/>
    </row>
    <row r="20" spans="1:24" ht="28.5" customHeight="1">
      <c r="A20" s="493"/>
      <c r="C20" s="143" t="s">
        <v>46</v>
      </c>
      <c r="D20" s="146"/>
      <c r="E20" s="142" t="s">
        <v>47</v>
      </c>
      <c r="F20" s="292">
        <v>2606998</v>
      </c>
      <c r="G20" s="293">
        <v>1.2062010347704486</v>
      </c>
      <c r="H20" s="294">
        <v>2507338</v>
      </c>
      <c r="I20" s="293">
        <v>1.263277151243916</v>
      </c>
      <c r="J20" s="317">
        <v>3.9747333626339967</v>
      </c>
      <c r="K20" s="292">
        <v>881294</v>
      </c>
      <c r="L20" s="295">
        <v>1.3929007036164187</v>
      </c>
      <c r="M20" s="294">
        <v>857449</v>
      </c>
      <c r="N20" s="293">
        <v>1.4859876375458676</v>
      </c>
      <c r="O20" s="317">
        <v>2.7809234135208043</v>
      </c>
      <c r="P20" s="296">
        <v>3488292</v>
      </c>
      <c r="Q20" s="293">
        <v>1.248478852461662</v>
      </c>
      <c r="R20" s="297">
        <v>3364787</v>
      </c>
      <c r="S20" s="293">
        <v>1.313440508796217</v>
      </c>
      <c r="T20" s="317">
        <v>3.6705146566484</v>
      </c>
      <c r="U20" s="298">
        <v>3.897691503440729</v>
      </c>
      <c r="V20" s="331">
        <v>3.8</v>
      </c>
      <c r="W20" s="299">
        <v>4</v>
      </c>
      <c r="X20" s="134"/>
    </row>
    <row r="21" spans="1:24" ht="28.5" customHeight="1">
      <c r="A21" s="493"/>
      <c r="C21" s="143" t="s">
        <v>48</v>
      </c>
      <c r="D21" s="146"/>
      <c r="E21" s="142" t="s">
        <v>49</v>
      </c>
      <c r="F21" s="292">
        <v>11036276</v>
      </c>
      <c r="G21" s="293">
        <v>5.1062438602608315</v>
      </c>
      <c r="H21" s="294">
        <v>11253078</v>
      </c>
      <c r="I21" s="293">
        <v>5.669660938639141</v>
      </c>
      <c r="J21" s="317">
        <v>-1.9266017706444407</v>
      </c>
      <c r="K21" s="292">
        <v>2808210</v>
      </c>
      <c r="L21" s="295">
        <v>4.4384254118406155</v>
      </c>
      <c r="M21" s="294">
        <v>2821058</v>
      </c>
      <c r="N21" s="293">
        <v>4.888987348285285</v>
      </c>
      <c r="O21" s="317">
        <v>-0.4554319691406557</v>
      </c>
      <c r="P21" s="296">
        <v>13844486</v>
      </c>
      <c r="Q21" s="293">
        <v>4.955017525540162</v>
      </c>
      <c r="R21" s="297">
        <v>14074136</v>
      </c>
      <c r="S21" s="293">
        <v>5.493821852232298</v>
      </c>
      <c r="T21" s="317">
        <v>-1.6317165046579059</v>
      </c>
      <c r="U21" s="298">
        <v>2.189791197647842</v>
      </c>
      <c r="V21" s="331" t="s">
        <v>310</v>
      </c>
      <c r="W21" s="299">
        <v>-1.5</v>
      </c>
      <c r="X21" s="134"/>
    </row>
    <row r="22" spans="1:24" ht="28.5" customHeight="1">
      <c r="A22" s="493"/>
      <c r="C22" s="143" t="s">
        <v>50</v>
      </c>
      <c r="D22" s="146"/>
      <c r="E22" s="142" t="s">
        <v>51</v>
      </c>
      <c r="F22" s="292">
        <v>1018</v>
      </c>
      <c r="G22" s="293">
        <v>0.00047100636571118074</v>
      </c>
      <c r="H22" s="294">
        <v>996</v>
      </c>
      <c r="I22" s="293">
        <v>0.0005018166847225784</v>
      </c>
      <c r="J22" s="317">
        <v>2.208835341365462</v>
      </c>
      <c r="K22" s="292">
        <v>8797</v>
      </c>
      <c r="L22" s="295">
        <v>0.013903813585152783</v>
      </c>
      <c r="M22" s="294">
        <v>44065</v>
      </c>
      <c r="N22" s="293">
        <v>0.07636611069399889</v>
      </c>
      <c r="O22" s="317">
        <v>-80.03630999659593</v>
      </c>
      <c r="P22" s="296">
        <v>9815</v>
      </c>
      <c r="Q22" s="293">
        <v>0.0035128423701086984</v>
      </c>
      <c r="R22" s="297">
        <v>45061</v>
      </c>
      <c r="S22" s="293">
        <v>0.01758950648788953</v>
      </c>
      <c r="T22" s="317">
        <v>-78.21841503739375</v>
      </c>
      <c r="U22" s="298">
        <v>-9.00628016397084</v>
      </c>
      <c r="V22" s="331" t="s">
        <v>311</v>
      </c>
      <c r="W22" s="299">
        <v>0</v>
      </c>
      <c r="X22" s="134"/>
    </row>
    <row r="23" spans="1:26" ht="28.5" customHeight="1">
      <c r="A23" s="493"/>
      <c r="C23" s="143" t="s">
        <v>52</v>
      </c>
      <c r="D23" s="146"/>
      <c r="E23" s="142" t="s">
        <v>53</v>
      </c>
      <c r="F23" s="292">
        <v>17991</v>
      </c>
      <c r="G23" s="293">
        <v>0.008324042755903588</v>
      </c>
      <c r="H23" s="294">
        <v>31904</v>
      </c>
      <c r="I23" s="293">
        <v>0.016074256535531267</v>
      </c>
      <c r="J23" s="317">
        <v>-43.6089518555667</v>
      </c>
      <c r="K23" s="292">
        <v>300</v>
      </c>
      <c r="L23" s="295">
        <v>0.0004741552887968438</v>
      </c>
      <c r="M23" s="294">
        <v>326</v>
      </c>
      <c r="N23" s="293">
        <v>0.0005649688434413624</v>
      </c>
      <c r="O23" s="317">
        <v>-7.975460122699387</v>
      </c>
      <c r="P23" s="296">
        <v>18291</v>
      </c>
      <c r="Q23" s="293">
        <v>0.00654644929105025</v>
      </c>
      <c r="R23" s="297">
        <v>32230</v>
      </c>
      <c r="S23" s="293">
        <v>0.012580941259729687</v>
      </c>
      <c r="T23" s="317">
        <v>-43.2485262178095</v>
      </c>
      <c r="U23" s="298">
        <v>72.72240085744909</v>
      </c>
      <c r="V23" s="331" t="s">
        <v>312</v>
      </c>
      <c r="W23" s="299">
        <v>-16</v>
      </c>
      <c r="X23" s="134"/>
      <c r="Y23" s="147"/>
      <c r="Z23" s="147"/>
    </row>
    <row r="24" spans="1:26" ht="28.5" customHeight="1">
      <c r="A24" s="493"/>
      <c r="C24" s="143" t="s">
        <v>54</v>
      </c>
      <c r="D24" s="146"/>
      <c r="E24" s="142" t="s">
        <v>55</v>
      </c>
      <c r="F24" s="292">
        <v>201235622</v>
      </c>
      <c r="G24" s="293">
        <v>93.10732708236633</v>
      </c>
      <c r="H24" s="294">
        <v>183837102</v>
      </c>
      <c r="I24" s="293">
        <v>92.62301712313906</v>
      </c>
      <c r="J24" s="317">
        <v>9.464096099600178</v>
      </c>
      <c r="K24" s="296">
        <v>62921777</v>
      </c>
      <c r="L24" s="295">
        <v>99.44897781681867</v>
      </c>
      <c r="M24" s="297">
        <v>57347893</v>
      </c>
      <c r="N24" s="293">
        <v>99.38580607978224</v>
      </c>
      <c r="O24" s="317">
        <v>9.719422472940725</v>
      </c>
      <c r="P24" s="296">
        <v>264157399</v>
      </c>
      <c r="Q24" s="293">
        <v>94.54338294293521</v>
      </c>
      <c r="R24" s="297">
        <v>241184995</v>
      </c>
      <c r="S24" s="293">
        <v>94.14626915368285</v>
      </c>
      <c r="T24" s="317">
        <v>9.5248064665051</v>
      </c>
      <c r="U24" s="298">
        <v>0.8193785463029555</v>
      </c>
      <c r="V24" s="331">
        <v>2</v>
      </c>
      <c r="W24" s="299">
        <v>11.4</v>
      </c>
      <c r="X24" s="148"/>
      <c r="Y24" s="147"/>
      <c r="Z24" s="134"/>
    </row>
    <row r="25" spans="1:26" ht="28.5" customHeight="1">
      <c r="A25" s="493"/>
      <c r="C25" s="143" t="s">
        <v>56</v>
      </c>
      <c r="D25" s="141"/>
      <c r="E25" s="142" t="s">
        <v>57</v>
      </c>
      <c r="F25" s="292">
        <v>634407</v>
      </c>
      <c r="G25" s="293">
        <v>0.29352626272272403</v>
      </c>
      <c r="H25" s="294">
        <v>643907</v>
      </c>
      <c r="I25" s="293">
        <v>0.32442095984905756</v>
      </c>
      <c r="J25" s="317">
        <v>-1.4753683373530648</v>
      </c>
      <c r="K25" s="292">
        <v>348634</v>
      </c>
      <c r="L25" s="295">
        <v>0.5510221831813295</v>
      </c>
      <c r="M25" s="294">
        <v>354404</v>
      </c>
      <c r="N25" s="293">
        <v>0.6141939202177688</v>
      </c>
      <c r="O25" s="317">
        <v>-1.6280854617893703</v>
      </c>
      <c r="P25" s="296">
        <v>983041</v>
      </c>
      <c r="Q25" s="293">
        <v>0.3518357693687239</v>
      </c>
      <c r="R25" s="297">
        <v>998311</v>
      </c>
      <c r="S25" s="293">
        <v>0.38968948339875903</v>
      </c>
      <c r="T25" s="317">
        <v>-1.529583466474876</v>
      </c>
      <c r="U25" s="298">
        <v>3.645352621836194</v>
      </c>
      <c r="V25" s="331" t="s">
        <v>313</v>
      </c>
      <c r="W25" s="299">
        <v>-9.5</v>
      </c>
      <c r="X25" s="134"/>
      <c r="Y25" s="147"/>
      <c r="Z25" s="147"/>
    </row>
    <row r="26" spans="1:24" ht="28.5" customHeight="1">
      <c r="A26" s="493"/>
      <c r="C26" s="139" t="s">
        <v>58</v>
      </c>
      <c r="D26" s="141"/>
      <c r="E26" s="142" t="s">
        <v>59</v>
      </c>
      <c r="F26" s="292">
        <v>4047554</v>
      </c>
      <c r="G26" s="293">
        <v>1.8727148325734306</v>
      </c>
      <c r="H26" s="294">
        <v>3894590</v>
      </c>
      <c r="I26" s="293">
        <v>1.9622191186282198</v>
      </c>
      <c r="J26" s="317">
        <v>3.927602135269695</v>
      </c>
      <c r="K26" s="292">
        <v>0</v>
      </c>
      <c r="L26" s="295">
        <v>0</v>
      </c>
      <c r="M26" s="294">
        <v>0</v>
      </c>
      <c r="N26" s="293">
        <v>0</v>
      </c>
      <c r="O26" s="317">
        <v>0</v>
      </c>
      <c r="P26" s="296">
        <v>4047554</v>
      </c>
      <c r="Q26" s="293">
        <v>1.448641791798568</v>
      </c>
      <c r="R26" s="297">
        <v>3894590</v>
      </c>
      <c r="S26" s="293">
        <v>1.520248464807032</v>
      </c>
      <c r="T26" s="317">
        <v>3.927602135269695</v>
      </c>
      <c r="U26" s="298">
        <v>1.2592043126662211</v>
      </c>
      <c r="V26" s="331">
        <v>0.9</v>
      </c>
      <c r="W26" s="299">
        <v>1.1</v>
      </c>
      <c r="X26" s="134"/>
    </row>
    <row r="27" spans="1:24" ht="28.5" customHeight="1">
      <c r="A27" s="493"/>
      <c r="C27" s="139" t="s">
        <v>60</v>
      </c>
      <c r="D27" s="141"/>
      <c r="E27" s="142" t="s">
        <v>61</v>
      </c>
      <c r="F27" s="292">
        <v>10215377</v>
      </c>
      <c r="G27" s="293">
        <v>4.72643182233751</v>
      </c>
      <c r="H27" s="294">
        <v>10103254</v>
      </c>
      <c r="I27" s="293">
        <v>5.090342798383665</v>
      </c>
      <c r="J27" s="317">
        <v>1.1097711687739416</v>
      </c>
      <c r="K27" s="292">
        <v>0</v>
      </c>
      <c r="L27" s="295">
        <v>0</v>
      </c>
      <c r="M27" s="294">
        <v>0</v>
      </c>
      <c r="N27" s="293">
        <v>0</v>
      </c>
      <c r="O27" s="317">
        <v>0</v>
      </c>
      <c r="P27" s="296">
        <v>10215377</v>
      </c>
      <c r="Q27" s="293">
        <v>3.6561394958974924</v>
      </c>
      <c r="R27" s="297">
        <v>10103254</v>
      </c>
      <c r="S27" s="293">
        <v>3.943792898111356</v>
      </c>
      <c r="T27" s="317">
        <v>1.1097711687739416</v>
      </c>
      <c r="U27" s="298">
        <v>-4.760390217121621</v>
      </c>
      <c r="V27" s="331">
        <v>0.2</v>
      </c>
      <c r="W27" s="299">
        <v>0.8</v>
      </c>
      <c r="X27" s="134"/>
    </row>
    <row r="28" spans="1:24" ht="28.5" customHeight="1">
      <c r="A28" s="493"/>
      <c r="C28" s="139" t="s">
        <v>39</v>
      </c>
      <c r="D28" s="141"/>
      <c r="E28" s="142" t="s">
        <v>62</v>
      </c>
      <c r="F28" s="292">
        <v>14897338</v>
      </c>
      <c r="G28" s="293">
        <v>6.892672917633664</v>
      </c>
      <c r="H28" s="294">
        <v>14641751</v>
      </c>
      <c r="I28" s="293">
        <v>7.376982876860942</v>
      </c>
      <c r="J28" s="317">
        <v>1.745604060607232</v>
      </c>
      <c r="K28" s="296">
        <v>348634</v>
      </c>
      <c r="L28" s="295">
        <v>0.5510221831813295</v>
      </c>
      <c r="M28" s="297">
        <v>354404</v>
      </c>
      <c r="N28" s="293">
        <v>0.6141939202177688</v>
      </c>
      <c r="O28" s="317">
        <v>-1.6280854617893703</v>
      </c>
      <c r="P28" s="296">
        <v>15245972</v>
      </c>
      <c r="Q28" s="293">
        <v>5.456617057064784</v>
      </c>
      <c r="R28" s="297">
        <v>14996155</v>
      </c>
      <c r="S28" s="293">
        <v>5.853730846317147</v>
      </c>
      <c r="T28" s="317">
        <v>1.6658736856214142</v>
      </c>
      <c r="U28" s="298">
        <v>-2.733569660555601</v>
      </c>
      <c r="V28" s="331">
        <v>0.4</v>
      </c>
      <c r="W28" s="299">
        <v>0.7</v>
      </c>
      <c r="X28" s="134"/>
    </row>
    <row r="29" spans="1:24" ht="28.5" customHeight="1" thickBot="1">
      <c r="A29" s="493"/>
      <c r="C29" s="143" t="s">
        <v>63</v>
      </c>
      <c r="D29" s="146"/>
      <c r="E29" s="142" t="s">
        <v>64</v>
      </c>
      <c r="F29" s="300">
        <v>0</v>
      </c>
      <c r="G29" s="293">
        <v>0</v>
      </c>
      <c r="H29" s="301">
        <v>0</v>
      </c>
      <c r="I29" s="293">
        <v>0</v>
      </c>
      <c r="J29" s="318">
        <v>0</v>
      </c>
      <c r="K29" s="300">
        <v>0</v>
      </c>
      <c r="L29" s="295">
        <v>0</v>
      </c>
      <c r="M29" s="301">
        <v>0</v>
      </c>
      <c r="N29" s="293">
        <v>0</v>
      </c>
      <c r="O29" s="318">
        <v>0</v>
      </c>
      <c r="P29" s="302">
        <v>0</v>
      </c>
      <c r="Q29" s="293">
        <v>0</v>
      </c>
      <c r="R29" s="303">
        <v>0</v>
      </c>
      <c r="S29" s="293">
        <v>0</v>
      </c>
      <c r="T29" s="318">
        <v>0</v>
      </c>
      <c r="U29" s="304">
        <v>0</v>
      </c>
      <c r="V29" s="305">
        <v>0</v>
      </c>
      <c r="W29" s="330">
        <v>0</v>
      </c>
      <c r="X29" s="134"/>
    </row>
    <row r="30" spans="1:24" ht="28.5" customHeight="1" thickBot="1">
      <c r="A30" s="493"/>
      <c r="C30" s="149"/>
      <c r="D30" s="150"/>
      <c r="E30" s="151" t="s">
        <v>29</v>
      </c>
      <c r="F30" s="306">
        <v>216132960</v>
      </c>
      <c r="G30" s="307">
        <v>100</v>
      </c>
      <c r="H30" s="308">
        <v>198478853</v>
      </c>
      <c r="I30" s="309">
        <v>100</v>
      </c>
      <c r="J30" s="319">
        <v>8.894704263531793</v>
      </c>
      <c r="K30" s="310">
        <v>63270411</v>
      </c>
      <c r="L30" s="307">
        <v>100</v>
      </c>
      <c r="M30" s="311">
        <v>57702297</v>
      </c>
      <c r="N30" s="309">
        <v>100</v>
      </c>
      <c r="O30" s="318">
        <v>9.649726769109382</v>
      </c>
      <c r="P30" s="310">
        <v>279403371</v>
      </c>
      <c r="Q30" s="309">
        <v>100</v>
      </c>
      <c r="R30" s="312">
        <v>256181150</v>
      </c>
      <c r="S30" s="309">
        <v>100</v>
      </c>
      <c r="T30" s="319">
        <v>9.064765694119181</v>
      </c>
      <c r="U30" s="313">
        <v>0.6042614011354682</v>
      </c>
      <c r="V30" s="334">
        <v>1.9</v>
      </c>
      <c r="W30" s="335">
        <v>10.5</v>
      </c>
      <c r="X30" s="134"/>
    </row>
    <row r="31" spans="3:23" ht="28.5" customHeight="1">
      <c r="C31" s="134"/>
      <c r="D31" s="134"/>
      <c r="E31" s="134"/>
      <c r="F31" s="134"/>
      <c r="G31" s="134"/>
      <c r="H31" s="134"/>
      <c r="I31" s="134"/>
      <c r="J31" s="320"/>
      <c r="K31" s="134"/>
      <c r="L31" s="134"/>
      <c r="M31" s="134"/>
      <c r="N31" s="134"/>
      <c r="O31" s="320"/>
      <c r="P31" s="134"/>
      <c r="Q31" s="134"/>
      <c r="R31" s="134"/>
      <c r="S31" s="134"/>
      <c r="T31" s="320"/>
      <c r="U31" s="134"/>
      <c r="V31" s="134"/>
      <c r="W31" s="152"/>
    </row>
    <row r="32" ht="28.5" customHeight="1">
      <c r="C32" s="153"/>
    </row>
    <row r="33" spans="3:5" ht="28.5" customHeight="1">
      <c r="C33" s="153"/>
      <c r="E33" s="154"/>
    </row>
    <row r="34" ht="28.5" customHeight="1">
      <c r="C34" s="153"/>
    </row>
    <row r="35" ht="28.5" customHeight="1">
      <c r="C35" s="153"/>
    </row>
    <row r="36" ht="28.5" customHeight="1">
      <c r="C36" s="153"/>
    </row>
    <row r="37" ht="28.5" customHeight="1">
      <c r="C37" s="153"/>
    </row>
    <row r="38" ht="28.5" customHeight="1">
      <c r="C38" s="153"/>
    </row>
    <row r="39" ht="28.5" customHeight="1">
      <c r="C39" s="153"/>
    </row>
    <row r="40" ht="28.5" customHeight="1">
      <c r="C40" s="153"/>
    </row>
    <row r="41" ht="28.5" customHeight="1">
      <c r="C41" s="153"/>
    </row>
    <row r="42" ht="28.5" customHeight="1">
      <c r="C42" s="153"/>
    </row>
    <row r="43" ht="28.5" customHeight="1">
      <c r="C43" s="153"/>
    </row>
    <row r="44" ht="28.5" customHeight="1">
      <c r="C44" s="153"/>
    </row>
    <row r="45" ht="28.5" customHeight="1">
      <c r="C45" s="153"/>
    </row>
    <row r="46" ht="28.5" customHeight="1">
      <c r="C46" s="153"/>
    </row>
    <row r="47" ht="28.5" customHeight="1">
      <c r="C47" s="153"/>
    </row>
    <row r="48" ht="28.5" customHeight="1">
      <c r="C48" s="153"/>
    </row>
    <row r="49" ht="28.5" customHeight="1">
      <c r="C49" s="153"/>
    </row>
    <row r="50" ht="28.5" customHeight="1">
      <c r="C50" s="153"/>
    </row>
    <row r="51" ht="28.5" customHeight="1">
      <c r="C51" s="153"/>
    </row>
    <row r="52" ht="28.5" customHeight="1">
      <c r="C52" s="153"/>
    </row>
    <row r="53" ht="28.5" customHeight="1">
      <c r="C53" s="153"/>
    </row>
    <row r="54" ht="28.5" customHeight="1">
      <c r="C54" s="153"/>
    </row>
    <row r="55" ht="28.5" customHeight="1">
      <c r="C55" s="153"/>
    </row>
    <row r="56" ht="28.5" customHeight="1">
      <c r="C56" s="153"/>
    </row>
    <row r="57" ht="28.5" customHeight="1">
      <c r="C57" s="153"/>
    </row>
    <row r="58" ht="28.5" customHeight="1">
      <c r="C58" s="153"/>
    </row>
    <row r="59" spans="3:26" ht="28.5" customHeight="1">
      <c r="C59" s="153"/>
      <c r="D59" s="153"/>
      <c r="E59" s="153"/>
      <c r="F59" s="153"/>
      <c r="G59" s="153"/>
      <c r="H59" s="153"/>
      <c r="I59" s="153"/>
      <c r="J59" s="321"/>
      <c r="K59" s="153"/>
      <c r="L59" s="153"/>
      <c r="M59" s="153"/>
      <c r="N59" s="153"/>
      <c r="O59" s="321"/>
      <c r="P59" s="153"/>
      <c r="Q59" s="153"/>
      <c r="R59" s="153"/>
      <c r="S59" s="153"/>
      <c r="T59" s="321"/>
      <c r="U59" s="153"/>
      <c r="V59" s="153"/>
      <c r="W59" s="155"/>
      <c r="X59" s="153"/>
      <c r="Y59" s="156"/>
      <c r="Z59" s="153"/>
    </row>
    <row r="60" ht="28.5" customHeight="1">
      <c r="C60" s="153"/>
    </row>
    <row r="61" ht="28.5" customHeight="1">
      <c r="C61" s="153"/>
    </row>
    <row r="62" ht="28.5" customHeight="1">
      <c r="C62" s="153"/>
    </row>
    <row r="63" ht="28.5" customHeight="1">
      <c r="C63" s="153"/>
    </row>
    <row r="64" ht="28.5" customHeight="1">
      <c r="C64" s="153"/>
    </row>
    <row r="65" ht="28.5" customHeight="1">
      <c r="C65" s="153"/>
    </row>
    <row r="66" ht="28.5" customHeight="1">
      <c r="C66" s="153"/>
    </row>
    <row r="67" ht="28.5" customHeight="1">
      <c r="C67" s="153"/>
    </row>
    <row r="68" ht="28.5" customHeight="1">
      <c r="C68" s="153"/>
    </row>
    <row r="69" ht="28.5" customHeight="1">
      <c r="C69" s="153"/>
    </row>
    <row r="70" ht="28.5" customHeight="1">
      <c r="C70" s="153"/>
    </row>
    <row r="71" ht="28.5" customHeight="1">
      <c r="C71" s="153"/>
    </row>
    <row r="72" ht="28.5" customHeight="1">
      <c r="C72" s="153"/>
    </row>
    <row r="73" ht="28.5" customHeight="1">
      <c r="C73" s="153"/>
    </row>
    <row r="74" ht="28.5" customHeight="1">
      <c r="C74" s="153"/>
    </row>
    <row r="75" ht="28.5" customHeight="1">
      <c r="C75" s="153"/>
    </row>
    <row r="76" ht="28.5" customHeight="1">
      <c r="C76" s="153"/>
    </row>
    <row r="77" ht="28.5" customHeight="1">
      <c r="C77" s="153"/>
    </row>
    <row r="78" ht="28.5" customHeight="1">
      <c r="C78" s="153"/>
    </row>
    <row r="79" ht="28.5" customHeight="1">
      <c r="C79" s="153"/>
    </row>
    <row r="80" ht="28.5" customHeight="1">
      <c r="C80" s="153"/>
    </row>
    <row r="81" ht="28.5" customHeight="1">
      <c r="C81" s="153"/>
    </row>
    <row r="82" ht="28.5" customHeight="1">
      <c r="C82" s="153"/>
    </row>
    <row r="83" ht="28.5" customHeight="1">
      <c r="C83" s="153"/>
    </row>
    <row r="84" ht="28.5" customHeight="1">
      <c r="C84" s="153"/>
    </row>
    <row r="85" ht="28.5" customHeight="1">
      <c r="C85" s="153"/>
    </row>
    <row r="86" ht="28.5" customHeight="1">
      <c r="C86" s="153"/>
    </row>
    <row r="87" ht="28.5" customHeight="1">
      <c r="C87" s="153"/>
    </row>
    <row r="88" ht="28.5" customHeight="1">
      <c r="C88" s="153"/>
    </row>
    <row r="89" ht="28.5" customHeight="1">
      <c r="C89" s="153"/>
    </row>
    <row r="90" ht="28.5" customHeight="1">
      <c r="C90" s="153"/>
    </row>
    <row r="91" ht="28.5" customHeight="1">
      <c r="C91" s="153"/>
    </row>
    <row r="92" ht="28.5" customHeight="1">
      <c r="C92" s="153"/>
    </row>
    <row r="93" ht="28.5" customHeight="1">
      <c r="C93" s="153"/>
    </row>
    <row r="94" ht="28.5" customHeight="1">
      <c r="C94" s="153"/>
    </row>
    <row r="95" ht="28.5" customHeight="1">
      <c r="C95" s="153"/>
    </row>
    <row r="96" ht="28.5" customHeight="1">
      <c r="C96" s="153"/>
    </row>
    <row r="97" ht="28.5" customHeight="1">
      <c r="C97" s="153"/>
    </row>
    <row r="98" ht="28.5" customHeight="1">
      <c r="C98" s="153"/>
    </row>
    <row r="99" ht="28.5" customHeight="1">
      <c r="C99" s="153"/>
    </row>
    <row r="100" ht="28.5" customHeight="1">
      <c r="C100" s="153"/>
    </row>
    <row r="101" ht="28.5" customHeight="1">
      <c r="C101" s="153"/>
    </row>
    <row r="102" spans="3:25" ht="28.5" customHeight="1">
      <c r="C102" s="157"/>
      <c r="D102" s="158"/>
      <c r="E102" s="157"/>
      <c r="F102" s="158"/>
      <c r="G102" s="157"/>
      <c r="H102" s="158"/>
      <c r="I102" s="157"/>
      <c r="J102" s="321"/>
      <c r="K102" s="157"/>
      <c r="L102" s="158"/>
      <c r="M102" s="157"/>
      <c r="N102" s="158"/>
      <c r="O102" s="321"/>
      <c r="P102" s="158"/>
      <c r="Q102" s="157"/>
      <c r="R102" s="158"/>
      <c r="S102" s="157"/>
      <c r="T102" s="321"/>
      <c r="U102" s="158"/>
      <c r="V102" s="157"/>
      <c r="W102" s="159"/>
      <c r="X102" s="158"/>
      <c r="Y102" s="157"/>
    </row>
    <row r="103" spans="3:25" ht="28.5" customHeight="1">
      <c r="C103" s="157"/>
      <c r="D103" s="158"/>
      <c r="E103" s="157"/>
      <c r="F103" s="158"/>
      <c r="G103" s="157"/>
      <c r="H103" s="158"/>
      <c r="I103" s="157"/>
      <c r="J103" s="321"/>
      <c r="K103" s="157"/>
      <c r="L103" s="158"/>
      <c r="M103" s="157"/>
      <c r="N103" s="158"/>
      <c r="O103" s="321"/>
      <c r="P103" s="158"/>
      <c r="Q103" s="157"/>
      <c r="R103" s="158"/>
      <c r="S103" s="157"/>
      <c r="T103" s="321"/>
      <c r="U103" s="158"/>
      <c r="V103" s="157"/>
      <c r="W103" s="159"/>
      <c r="X103" s="158"/>
      <c r="Y103" s="157"/>
    </row>
    <row r="104" spans="3:25" ht="28.5" customHeight="1">
      <c r="C104" s="157"/>
      <c r="D104" s="158"/>
      <c r="E104" s="157"/>
      <c r="F104" s="158"/>
      <c r="G104" s="157"/>
      <c r="H104" s="158"/>
      <c r="I104" s="157"/>
      <c r="J104" s="321"/>
      <c r="K104" s="157"/>
      <c r="L104" s="158"/>
      <c r="M104" s="157"/>
      <c r="N104" s="158"/>
      <c r="O104" s="321"/>
      <c r="P104" s="158"/>
      <c r="Q104" s="157"/>
      <c r="R104" s="158"/>
      <c r="S104" s="157"/>
      <c r="T104" s="321"/>
      <c r="U104" s="158"/>
      <c r="V104" s="157"/>
      <c r="W104" s="159"/>
      <c r="X104" s="158"/>
      <c r="Y104" s="157"/>
    </row>
    <row r="105" spans="3:25" ht="28.5" customHeight="1">
      <c r="C105" s="157"/>
      <c r="D105" s="158"/>
      <c r="E105" s="157"/>
      <c r="F105" s="158"/>
      <c r="G105" s="157"/>
      <c r="H105" s="158"/>
      <c r="I105" s="157"/>
      <c r="J105" s="321"/>
      <c r="K105" s="157"/>
      <c r="L105" s="158"/>
      <c r="M105" s="157"/>
      <c r="N105" s="158"/>
      <c r="O105" s="321"/>
      <c r="P105" s="158"/>
      <c r="Q105" s="157"/>
      <c r="R105" s="158"/>
      <c r="S105" s="157"/>
      <c r="T105" s="321"/>
      <c r="U105" s="158"/>
      <c r="V105" s="157"/>
      <c r="W105" s="159"/>
      <c r="X105" s="158"/>
      <c r="Y105" s="157"/>
    </row>
    <row r="106" spans="3:25" ht="28.5" customHeight="1">
      <c r="C106" s="157"/>
      <c r="D106" s="158"/>
      <c r="E106" s="157"/>
      <c r="F106" s="158"/>
      <c r="G106" s="157"/>
      <c r="H106" s="158"/>
      <c r="I106" s="157"/>
      <c r="J106" s="321"/>
      <c r="K106" s="157"/>
      <c r="L106" s="158"/>
      <c r="M106" s="157"/>
      <c r="N106" s="158"/>
      <c r="O106" s="321"/>
      <c r="P106" s="158"/>
      <c r="Q106" s="157"/>
      <c r="R106" s="158"/>
      <c r="S106" s="157"/>
      <c r="T106" s="321"/>
      <c r="U106" s="158"/>
      <c r="V106" s="157"/>
      <c r="W106" s="159"/>
      <c r="X106" s="158"/>
      <c r="Y106" s="157"/>
    </row>
    <row r="107" spans="3:25" ht="28.5" customHeight="1">
      <c r="C107" s="157"/>
      <c r="D107" s="158"/>
      <c r="E107" s="157"/>
      <c r="F107" s="158"/>
      <c r="G107" s="157"/>
      <c r="H107" s="158"/>
      <c r="I107" s="157"/>
      <c r="J107" s="321"/>
      <c r="K107" s="157"/>
      <c r="L107" s="158"/>
      <c r="M107" s="157"/>
      <c r="N107" s="158"/>
      <c r="O107" s="321"/>
      <c r="P107" s="158"/>
      <c r="Q107" s="157"/>
      <c r="R107" s="158"/>
      <c r="S107" s="157"/>
      <c r="T107" s="321"/>
      <c r="U107" s="158"/>
      <c r="V107" s="157"/>
      <c r="W107" s="159"/>
      <c r="X107" s="158"/>
      <c r="Y107" s="157"/>
    </row>
    <row r="108" spans="3:25" ht="28.5" customHeight="1">
      <c r="C108" s="157"/>
      <c r="D108" s="158"/>
      <c r="E108" s="157"/>
      <c r="F108" s="158"/>
      <c r="G108" s="157"/>
      <c r="H108" s="158"/>
      <c r="I108" s="157"/>
      <c r="J108" s="321"/>
      <c r="K108" s="157"/>
      <c r="L108" s="158"/>
      <c r="M108" s="157"/>
      <c r="N108" s="158"/>
      <c r="O108" s="321"/>
      <c r="P108" s="158"/>
      <c r="Q108" s="157"/>
      <c r="R108" s="158"/>
      <c r="S108" s="157"/>
      <c r="T108" s="321"/>
      <c r="U108" s="158"/>
      <c r="V108" s="157"/>
      <c r="W108" s="159"/>
      <c r="X108" s="158"/>
      <c r="Y108" s="157"/>
    </row>
    <row r="109" spans="3:25" ht="28.5" customHeight="1">
      <c r="C109" s="157"/>
      <c r="D109" s="158"/>
      <c r="E109" s="157"/>
      <c r="F109" s="158"/>
      <c r="G109" s="157"/>
      <c r="H109" s="158"/>
      <c r="I109" s="157"/>
      <c r="J109" s="321"/>
      <c r="K109" s="157"/>
      <c r="L109" s="158"/>
      <c r="M109" s="157"/>
      <c r="N109" s="158"/>
      <c r="O109" s="321"/>
      <c r="P109" s="158"/>
      <c r="Q109" s="157"/>
      <c r="R109" s="158"/>
      <c r="S109" s="157"/>
      <c r="T109" s="321"/>
      <c r="U109" s="158"/>
      <c r="V109" s="157"/>
      <c r="W109" s="159"/>
      <c r="X109" s="158"/>
      <c r="Y109" s="157"/>
    </row>
    <row r="110" spans="3:25" ht="28.5" customHeight="1">
      <c r="C110" s="157"/>
      <c r="D110" s="158"/>
      <c r="E110" s="157"/>
      <c r="F110" s="158"/>
      <c r="G110" s="157"/>
      <c r="H110" s="158"/>
      <c r="I110" s="157"/>
      <c r="J110" s="321"/>
      <c r="K110" s="157"/>
      <c r="L110" s="158"/>
      <c r="M110" s="157"/>
      <c r="N110" s="158"/>
      <c r="O110" s="321"/>
      <c r="P110" s="158"/>
      <c r="Q110" s="157"/>
      <c r="R110" s="158"/>
      <c r="S110" s="157"/>
      <c r="T110" s="321"/>
      <c r="U110" s="158"/>
      <c r="V110" s="157"/>
      <c r="W110" s="159"/>
      <c r="X110" s="158"/>
      <c r="Y110" s="157"/>
    </row>
    <row r="111" spans="3:25" ht="28.5" customHeight="1">
      <c r="C111" s="157"/>
      <c r="D111" s="158"/>
      <c r="E111" s="157"/>
      <c r="F111" s="158"/>
      <c r="G111" s="157"/>
      <c r="H111" s="158"/>
      <c r="I111" s="157"/>
      <c r="J111" s="321"/>
      <c r="K111" s="157"/>
      <c r="L111" s="158"/>
      <c r="M111" s="157"/>
      <c r="N111" s="158"/>
      <c r="O111" s="321"/>
      <c r="P111" s="158"/>
      <c r="Q111" s="157"/>
      <c r="R111" s="158"/>
      <c r="S111" s="157"/>
      <c r="T111" s="321"/>
      <c r="U111" s="158"/>
      <c r="V111" s="157"/>
      <c r="W111" s="159"/>
      <c r="X111" s="158"/>
      <c r="Y111" s="157"/>
    </row>
    <row r="112" spans="3:25" ht="28.5" customHeight="1">
      <c r="C112" s="157"/>
      <c r="D112" s="158"/>
      <c r="E112" s="157"/>
      <c r="F112" s="158"/>
      <c r="G112" s="157"/>
      <c r="H112" s="158"/>
      <c r="I112" s="157"/>
      <c r="J112" s="321"/>
      <c r="K112" s="157"/>
      <c r="L112" s="158"/>
      <c r="M112" s="157"/>
      <c r="N112" s="158"/>
      <c r="O112" s="321"/>
      <c r="P112" s="158"/>
      <c r="Q112" s="157"/>
      <c r="R112" s="158"/>
      <c r="S112" s="157"/>
      <c r="T112" s="321"/>
      <c r="U112" s="158"/>
      <c r="V112" s="157"/>
      <c r="W112" s="159"/>
      <c r="X112" s="158"/>
      <c r="Y112" s="157"/>
    </row>
    <row r="113" spans="3:25" ht="28.5" customHeight="1">
      <c r="C113" s="157"/>
      <c r="D113" s="158"/>
      <c r="E113" s="157"/>
      <c r="F113" s="158"/>
      <c r="G113" s="157"/>
      <c r="H113" s="158"/>
      <c r="I113" s="157"/>
      <c r="J113" s="321"/>
      <c r="K113" s="157"/>
      <c r="L113" s="158"/>
      <c r="M113" s="157"/>
      <c r="N113" s="158"/>
      <c r="O113" s="321"/>
      <c r="P113" s="158"/>
      <c r="Q113" s="157"/>
      <c r="R113" s="158"/>
      <c r="S113" s="157"/>
      <c r="T113" s="321"/>
      <c r="U113" s="158"/>
      <c r="V113" s="157"/>
      <c r="W113" s="159"/>
      <c r="X113" s="158"/>
      <c r="Y113" s="157"/>
    </row>
    <row r="114" spans="3:25" ht="28.5" customHeight="1">
      <c r="C114" s="158"/>
      <c r="D114" s="158"/>
      <c r="E114" s="157"/>
      <c r="F114" s="158"/>
      <c r="G114" s="157"/>
      <c r="H114" s="158"/>
      <c r="I114" s="158"/>
      <c r="J114" s="321"/>
      <c r="K114" s="158"/>
      <c r="L114" s="158"/>
      <c r="M114" s="157"/>
      <c r="N114" s="158"/>
      <c r="O114" s="321"/>
      <c r="P114" s="158"/>
      <c r="Q114" s="157"/>
      <c r="R114" s="158"/>
      <c r="S114" s="157"/>
      <c r="T114" s="321"/>
      <c r="U114" s="158"/>
      <c r="V114" s="157"/>
      <c r="W114" s="159"/>
      <c r="X114" s="158"/>
      <c r="Y114" s="157"/>
    </row>
    <row r="115" spans="3:25" ht="28.5" customHeight="1">
      <c r="C115" s="158"/>
      <c r="D115" s="158"/>
      <c r="E115" s="158"/>
      <c r="F115" s="158"/>
      <c r="G115" s="158"/>
      <c r="H115" s="158"/>
      <c r="I115" s="158"/>
      <c r="J115" s="321"/>
      <c r="K115" s="158"/>
      <c r="L115" s="158"/>
      <c r="M115" s="157"/>
      <c r="N115" s="158"/>
      <c r="O115" s="321"/>
      <c r="P115" s="158"/>
      <c r="Q115" s="157"/>
      <c r="R115" s="158"/>
      <c r="S115" s="158"/>
      <c r="T115" s="321"/>
      <c r="U115" s="158"/>
      <c r="V115" s="157"/>
      <c r="W115" s="159"/>
      <c r="X115" s="158"/>
      <c r="Y115" s="157"/>
    </row>
    <row r="116" spans="3:25" ht="28.5" customHeight="1">
      <c r="C116" s="158"/>
      <c r="D116" s="158"/>
      <c r="E116" s="158"/>
      <c r="F116" s="158"/>
      <c r="G116" s="158"/>
      <c r="H116" s="158"/>
      <c r="I116" s="158"/>
      <c r="J116" s="321"/>
      <c r="K116" s="158"/>
      <c r="L116" s="158"/>
      <c r="M116" s="157"/>
      <c r="N116" s="158"/>
      <c r="O116" s="321"/>
      <c r="P116" s="158"/>
      <c r="Q116" s="158"/>
      <c r="R116" s="158"/>
      <c r="S116" s="158"/>
      <c r="T116" s="321"/>
      <c r="U116" s="158"/>
      <c r="V116" s="157"/>
      <c r="W116" s="159"/>
      <c r="X116" s="158"/>
      <c r="Y116" s="157"/>
    </row>
    <row r="117" spans="3:25" ht="28.5" customHeight="1">
      <c r="C117" s="158"/>
      <c r="D117" s="158"/>
      <c r="E117" s="158"/>
      <c r="F117" s="158"/>
      <c r="G117" s="158"/>
      <c r="H117" s="158"/>
      <c r="I117" s="158"/>
      <c r="J117" s="321"/>
      <c r="K117" s="158"/>
      <c r="L117" s="158"/>
      <c r="M117" s="157"/>
      <c r="N117" s="158"/>
      <c r="O117" s="321"/>
      <c r="P117" s="158"/>
      <c r="Q117" s="158"/>
      <c r="R117" s="158"/>
      <c r="S117" s="158"/>
      <c r="T117" s="321"/>
      <c r="U117" s="158"/>
      <c r="V117" s="158"/>
      <c r="W117" s="160"/>
      <c r="X117" s="158"/>
      <c r="Y117" s="157"/>
    </row>
    <row r="118" spans="3:25" ht="28.5" customHeight="1">
      <c r="C118" s="158"/>
      <c r="D118" s="158"/>
      <c r="E118" s="158"/>
      <c r="F118" s="158"/>
      <c r="G118" s="158"/>
      <c r="H118" s="158"/>
      <c r="I118" s="158"/>
      <c r="J118" s="321"/>
      <c r="K118" s="158"/>
      <c r="L118" s="158"/>
      <c r="M118" s="158"/>
      <c r="N118" s="158"/>
      <c r="O118" s="321"/>
      <c r="P118" s="158"/>
      <c r="Q118" s="158"/>
      <c r="R118" s="158"/>
      <c r="S118" s="158"/>
      <c r="T118" s="321"/>
      <c r="U118" s="158"/>
      <c r="V118" s="158"/>
      <c r="W118" s="160"/>
      <c r="X118" s="158"/>
      <c r="Y118" s="157"/>
    </row>
    <row r="119" spans="3:25" ht="28.5" customHeight="1">
      <c r="C119" s="158"/>
      <c r="D119" s="158"/>
      <c r="E119" s="158"/>
      <c r="F119" s="158"/>
      <c r="G119" s="158"/>
      <c r="H119" s="158"/>
      <c r="I119" s="158"/>
      <c r="J119" s="321"/>
      <c r="K119" s="158"/>
      <c r="L119" s="158"/>
      <c r="M119" s="158"/>
      <c r="N119" s="158"/>
      <c r="O119" s="321"/>
      <c r="P119" s="158"/>
      <c r="Q119" s="158"/>
      <c r="R119" s="158"/>
      <c r="S119" s="158"/>
      <c r="T119" s="321"/>
      <c r="U119" s="158"/>
      <c r="V119" s="158"/>
      <c r="W119" s="160"/>
      <c r="X119" s="158"/>
      <c r="Y119" s="157"/>
    </row>
    <row r="120" spans="3:25" ht="28.5" customHeight="1">
      <c r="C120" s="158"/>
      <c r="D120" s="158"/>
      <c r="E120" s="158"/>
      <c r="F120" s="158"/>
      <c r="G120" s="158"/>
      <c r="H120" s="158"/>
      <c r="I120" s="158"/>
      <c r="J120" s="321"/>
      <c r="K120" s="158"/>
      <c r="L120" s="158"/>
      <c r="M120" s="158"/>
      <c r="N120" s="158"/>
      <c r="O120" s="321"/>
      <c r="P120" s="158"/>
      <c r="Q120" s="158"/>
      <c r="R120" s="158"/>
      <c r="S120" s="158"/>
      <c r="T120" s="321"/>
      <c r="U120" s="158"/>
      <c r="V120" s="158"/>
      <c r="W120" s="160"/>
      <c r="X120" s="158"/>
      <c r="Y120" s="158"/>
    </row>
    <row r="121" spans="3:25" ht="28.5" customHeight="1">
      <c r="C121" s="158"/>
      <c r="D121" s="158"/>
      <c r="E121" s="158"/>
      <c r="F121" s="158"/>
      <c r="G121" s="158"/>
      <c r="H121" s="158"/>
      <c r="I121" s="158"/>
      <c r="J121" s="321"/>
      <c r="K121" s="158"/>
      <c r="L121" s="158"/>
      <c r="M121" s="158"/>
      <c r="N121" s="158"/>
      <c r="O121" s="321"/>
      <c r="P121" s="158"/>
      <c r="Q121" s="158"/>
      <c r="R121" s="158"/>
      <c r="S121" s="158"/>
      <c r="T121" s="321"/>
      <c r="U121" s="158"/>
      <c r="V121" s="158"/>
      <c r="W121" s="160"/>
      <c r="X121" s="158"/>
      <c r="Y121" s="158"/>
    </row>
    <row r="122" spans="3:25" ht="28.5" customHeight="1">
      <c r="C122" s="158"/>
      <c r="D122" s="158"/>
      <c r="E122" s="158"/>
      <c r="F122" s="158"/>
      <c r="G122" s="158"/>
      <c r="H122" s="158"/>
      <c r="I122" s="158"/>
      <c r="J122" s="321"/>
      <c r="K122" s="158"/>
      <c r="L122" s="158"/>
      <c r="M122" s="158"/>
      <c r="N122" s="158"/>
      <c r="O122" s="321"/>
      <c r="P122" s="158"/>
      <c r="Q122" s="158"/>
      <c r="R122" s="158"/>
      <c r="S122" s="158"/>
      <c r="T122" s="321"/>
      <c r="U122" s="158"/>
      <c r="V122" s="158"/>
      <c r="W122" s="160"/>
      <c r="X122" s="158"/>
      <c r="Y122" s="158"/>
    </row>
    <row r="123" spans="3:25" ht="28.5" customHeight="1">
      <c r="C123" s="158"/>
      <c r="D123" s="158"/>
      <c r="E123" s="158"/>
      <c r="F123" s="158"/>
      <c r="G123" s="158"/>
      <c r="H123" s="158"/>
      <c r="I123" s="158"/>
      <c r="J123" s="321"/>
      <c r="K123" s="158"/>
      <c r="L123" s="158"/>
      <c r="M123" s="158"/>
      <c r="N123" s="158"/>
      <c r="O123" s="321"/>
      <c r="P123" s="158"/>
      <c r="Q123" s="158"/>
      <c r="R123" s="158"/>
      <c r="S123" s="158"/>
      <c r="T123" s="321"/>
      <c r="U123" s="158"/>
      <c r="V123" s="158"/>
      <c r="W123" s="160"/>
      <c r="X123" s="158"/>
      <c r="Y123" s="158"/>
    </row>
    <row r="124" spans="3:25" ht="28.5" customHeight="1">
      <c r="C124" s="158"/>
      <c r="D124" s="158"/>
      <c r="E124" s="158"/>
      <c r="F124" s="158"/>
      <c r="G124" s="158"/>
      <c r="H124" s="158"/>
      <c r="I124" s="158"/>
      <c r="J124" s="321"/>
      <c r="K124" s="158"/>
      <c r="L124" s="158"/>
      <c r="M124" s="158"/>
      <c r="N124" s="158"/>
      <c r="O124" s="321"/>
      <c r="P124" s="158"/>
      <c r="Q124" s="158"/>
      <c r="R124" s="158"/>
      <c r="S124" s="158"/>
      <c r="T124" s="321"/>
      <c r="U124" s="158"/>
      <c r="V124" s="158"/>
      <c r="W124" s="160"/>
      <c r="X124" s="158"/>
      <c r="Y124" s="158"/>
    </row>
    <row r="125" spans="3:25" ht="28.5" customHeight="1">
      <c r="C125" s="158"/>
      <c r="D125" s="158"/>
      <c r="E125" s="158"/>
      <c r="F125" s="158"/>
      <c r="G125" s="158"/>
      <c r="H125" s="158"/>
      <c r="I125" s="158"/>
      <c r="J125" s="321"/>
      <c r="K125" s="158"/>
      <c r="L125" s="158"/>
      <c r="M125" s="158"/>
      <c r="N125" s="158"/>
      <c r="O125" s="321"/>
      <c r="P125" s="158"/>
      <c r="Q125" s="158"/>
      <c r="R125" s="158"/>
      <c r="S125" s="158"/>
      <c r="T125" s="321"/>
      <c r="U125" s="158"/>
      <c r="V125" s="158"/>
      <c r="W125" s="160"/>
      <c r="X125" s="158"/>
      <c r="Y125" s="158"/>
    </row>
    <row r="126" spans="3:25" ht="28.5" customHeight="1">
      <c r="C126" s="158"/>
      <c r="D126" s="158"/>
      <c r="E126" s="158"/>
      <c r="F126" s="158"/>
      <c r="G126" s="158"/>
      <c r="H126" s="158"/>
      <c r="I126" s="158"/>
      <c r="J126" s="321"/>
      <c r="K126" s="158"/>
      <c r="L126" s="158"/>
      <c r="M126" s="158"/>
      <c r="N126" s="158"/>
      <c r="O126" s="321"/>
      <c r="P126" s="158"/>
      <c r="Q126" s="158"/>
      <c r="R126" s="158"/>
      <c r="S126" s="158"/>
      <c r="T126" s="321"/>
      <c r="U126" s="158"/>
      <c r="V126" s="158"/>
      <c r="W126" s="160"/>
      <c r="X126" s="158"/>
      <c r="Y126" s="158"/>
    </row>
    <row r="127" spans="3:25" ht="28.5" customHeight="1">
      <c r="C127" s="158"/>
      <c r="D127" s="158"/>
      <c r="E127" s="158"/>
      <c r="F127" s="158"/>
      <c r="G127" s="158"/>
      <c r="H127" s="158"/>
      <c r="I127" s="158"/>
      <c r="J127" s="321"/>
      <c r="K127" s="158"/>
      <c r="L127" s="158"/>
      <c r="M127" s="158"/>
      <c r="N127" s="158"/>
      <c r="O127" s="321"/>
      <c r="P127" s="158"/>
      <c r="Q127" s="158"/>
      <c r="R127" s="158"/>
      <c r="S127" s="158"/>
      <c r="T127" s="321"/>
      <c r="U127" s="158"/>
      <c r="V127" s="158"/>
      <c r="W127" s="160"/>
      <c r="X127" s="158"/>
      <c r="Y127" s="158"/>
    </row>
    <row r="128" spans="3:25" ht="28.5" customHeight="1">
      <c r="C128" s="158"/>
      <c r="D128" s="158"/>
      <c r="E128" s="158"/>
      <c r="F128" s="158"/>
      <c r="G128" s="158"/>
      <c r="H128" s="158"/>
      <c r="I128" s="158"/>
      <c r="J128" s="321"/>
      <c r="K128" s="158"/>
      <c r="L128" s="158"/>
      <c r="M128" s="158"/>
      <c r="N128" s="158"/>
      <c r="O128" s="321"/>
      <c r="P128" s="158"/>
      <c r="Q128" s="158"/>
      <c r="R128" s="158"/>
      <c r="S128" s="158"/>
      <c r="T128" s="321"/>
      <c r="U128" s="158"/>
      <c r="V128" s="158"/>
      <c r="W128" s="160"/>
      <c r="X128" s="158"/>
      <c r="Y128" s="158"/>
    </row>
    <row r="129" spans="3:25" ht="28.5" customHeight="1">
      <c r="C129" s="158"/>
      <c r="D129" s="158"/>
      <c r="E129" s="158"/>
      <c r="F129" s="158"/>
      <c r="G129" s="158"/>
      <c r="H129" s="158"/>
      <c r="I129" s="158"/>
      <c r="J129" s="321"/>
      <c r="K129" s="158"/>
      <c r="L129" s="158"/>
      <c r="M129" s="158"/>
      <c r="N129" s="158"/>
      <c r="O129" s="321"/>
      <c r="P129" s="158"/>
      <c r="Q129" s="158"/>
      <c r="R129" s="158"/>
      <c r="S129" s="158"/>
      <c r="T129" s="321"/>
      <c r="U129" s="158"/>
      <c r="V129" s="158"/>
      <c r="W129" s="160"/>
      <c r="X129" s="158"/>
      <c r="Y129" s="158"/>
    </row>
    <row r="130" spans="3:25" ht="28.5" customHeight="1">
      <c r="C130" s="158"/>
      <c r="D130" s="158"/>
      <c r="E130" s="158"/>
      <c r="F130" s="158"/>
      <c r="G130" s="158"/>
      <c r="H130" s="158"/>
      <c r="I130" s="158"/>
      <c r="J130" s="321"/>
      <c r="K130" s="158"/>
      <c r="L130" s="158"/>
      <c r="M130" s="158"/>
      <c r="N130" s="158"/>
      <c r="O130" s="321"/>
      <c r="P130" s="158"/>
      <c r="Q130" s="158"/>
      <c r="R130" s="158"/>
      <c r="S130" s="158"/>
      <c r="T130" s="321"/>
      <c r="U130" s="158"/>
      <c r="V130" s="158"/>
      <c r="W130" s="160"/>
      <c r="X130" s="158"/>
      <c r="Y130" s="158"/>
    </row>
    <row r="131" spans="3:25" ht="28.5" customHeight="1">
      <c r="C131" s="158"/>
      <c r="D131" s="158"/>
      <c r="E131" s="158"/>
      <c r="F131" s="158"/>
      <c r="G131" s="158"/>
      <c r="H131" s="158"/>
      <c r="I131" s="158"/>
      <c r="J131" s="321"/>
      <c r="K131" s="158"/>
      <c r="L131" s="158"/>
      <c r="M131" s="158"/>
      <c r="N131" s="158"/>
      <c r="O131" s="321"/>
      <c r="P131" s="158"/>
      <c r="Q131" s="158"/>
      <c r="R131" s="158"/>
      <c r="S131" s="158"/>
      <c r="T131" s="321"/>
      <c r="U131" s="158"/>
      <c r="V131" s="158"/>
      <c r="W131" s="160"/>
      <c r="X131" s="158"/>
      <c r="Y131" s="158"/>
    </row>
  </sheetData>
  <mergeCells count="14">
    <mergeCell ref="C6:C11"/>
    <mergeCell ref="D8:D10"/>
    <mergeCell ref="C13:C19"/>
    <mergeCell ref="D16:D18"/>
    <mergeCell ref="A1:A30"/>
    <mergeCell ref="W3:W4"/>
    <mergeCell ref="U3:V3"/>
    <mergeCell ref="C3:E4"/>
    <mergeCell ref="F3:J3"/>
    <mergeCell ref="K3:O3"/>
    <mergeCell ref="P3:T3"/>
    <mergeCell ref="B14:B16"/>
    <mergeCell ref="D12:D15"/>
    <mergeCell ref="D5:D7"/>
  </mergeCells>
  <printOptions/>
  <pageMargins left="0" right="0.3937007874015748" top="0.7874015748031497" bottom="0" header="0" footer="0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60" zoomScaleNormal="75" workbookViewId="0" topLeftCell="A1">
      <selection activeCell="D14" sqref="D14:D15"/>
    </sheetView>
  </sheetViews>
  <sheetFormatPr defaultColWidth="9.00390625" defaultRowHeight="33" customHeight="1"/>
  <cols>
    <col min="1" max="1" width="7.125" style="2" customWidth="1"/>
    <col min="2" max="2" width="7.375" style="2" customWidth="1"/>
    <col min="3" max="3" width="23.75390625" style="2" customWidth="1"/>
    <col min="4" max="4" width="14.625" style="2" customWidth="1"/>
    <col min="5" max="5" width="7.50390625" style="2" customWidth="1"/>
    <col min="6" max="6" width="14.50390625" style="2" customWidth="1"/>
    <col min="7" max="7" width="7.50390625" style="2" customWidth="1"/>
    <col min="8" max="8" width="14.625" style="2" customWidth="1"/>
    <col min="9" max="9" width="7.50390625" style="2" customWidth="1"/>
    <col min="10" max="10" width="14.50390625" style="2" customWidth="1"/>
    <col min="11" max="11" width="7.50390625" style="2" customWidth="1"/>
    <col min="12" max="12" width="14.50390625" style="2" customWidth="1"/>
    <col min="13" max="13" width="7.50390625" style="2" customWidth="1"/>
    <col min="14" max="14" width="14.625" style="2" customWidth="1"/>
    <col min="15" max="15" width="7.50390625" style="2" customWidth="1"/>
    <col min="16" max="16" width="14.50390625" style="2" customWidth="1"/>
    <col min="17" max="17" width="7.50390625" style="2" customWidth="1"/>
    <col min="18" max="18" width="14.50390625" style="2" customWidth="1"/>
    <col min="19" max="19" width="7.50390625" style="2" customWidth="1"/>
    <col min="20" max="20" width="14.50390625" style="2" customWidth="1"/>
    <col min="21" max="21" width="7.50390625" style="2" customWidth="1"/>
    <col min="22" max="23" width="8.00390625" style="2" customWidth="1"/>
    <col min="24" max="24" width="15.50390625" style="2" customWidth="1"/>
    <col min="25" max="16384" width="10.75390625" style="2" customWidth="1"/>
  </cols>
  <sheetData>
    <row r="1" spans="1:7" ht="33" customHeight="1">
      <c r="A1" s="516"/>
      <c r="C1" s="5" t="s">
        <v>65</v>
      </c>
      <c r="G1" s="3"/>
    </row>
    <row r="2" spans="1:24" ht="33" customHeight="1" thickBot="1">
      <c r="A2" s="516"/>
      <c r="X2" s="90" t="s">
        <v>133</v>
      </c>
    </row>
    <row r="3" spans="1:25" ht="33" customHeight="1">
      <c r="A3" s="516"/>
      <c r="C3" s="490" t="s">
        <v>179</v>
      </c>
      <c r="D3" s="97"/>
      <c r="E3" s="98"/>
      <c r="F3" s="98" t="s">
        <v>18</v>
      </c>
      <c r="G3" s="98"/>
      <c r="H3" s="98"/>
      <c r="I3" s="99"/>
      <c r="J3" s="97"/>
      <c r="K3" s="98"/>
      <c r="L3" s="98" t="s">
        <v>22</v>
      </c>
      <c r="M3" s="98"/>
      <c r="N3" s="98"/>
      <c r="O3" s="99"/>
      <c r="P3" s="97"/>
      <c r="Q3" s="98"/>
      <c r="R3" s="98" t="s">
        <v>20</v>
      </c>
      <c r="S3" s="98"/>
      <c r="T3" s="98"/>
      <c r="U3" s="99"/>
      <c r="V3" s="161" t="s">
        <v>454</v>
      </c>
      <c r="W3" s="162"/>
      <c r="X3" s="163" t="s">
        <v>455</v>
      </c>
      <c r="Y3" s="91"/>
    </row>
    <row r="4" spans="1:25" ht="33" customHeight="1" thickBot="1">
      <c r="A4" s="516"/>
      <c r="C4" s="517"/>
      <c r="D4" s="103" t="s">
        <v>437</v>
      </c>
      <c r="E4" s="104" t="s">
        <v>23</v>
      </c>
      <c r="F4" s="104" t="s">
        <v>438</v>
      </c>
      <c r="G4" s="104" t="s">
        <v>23</v>
      </c>
      <c r="H4" s="104" t="s">
        <v>24</v>
      </c>
      <c r="I4" s="105" t="s">
        <v>25</v>
      </c>
      <c r="J4" s="103" t="str">
        <f>D4</f>
        <v>19年度決算額</v>
      </c>
      <c r="K4" s="104" t="s">
        <v>23</v>
      </c>
      <c r="L4" s="104" t="str">
        <f>F4</f>
        <v>18年度決算額</v>
      </c>
      <c r="M4" s="104" t="s">
        <v>23</v>
      </c>
      <c r="N4" s="104" t="s">
        <v>24</v>
      </c>
      <c r="O4" s="105" t="s">
        <v>25</v>
      </c>
      <c r="P4" s="103" t="str">
        <f>D4</f>
        <v>19年度決算額</v>
      </c>
      <c r="Q4" s="104" t="s">
        <v>23</v>
      </c>
      <c r="R4" s="104" t="str">
        <f>F4</f>
        <v>18年度決算額</v>
      </c>
      <c r="S4" s="104" t="s">
        <v>23</v>
      </c>
      <c r="T4" s="104" t="s">
        <v>24</v>
      </c>
      <c r="U4" s="105" t="s">
        <v>25</v>
      </c>
      <c r="V4" s="164" t="s">
        <v>439</v>
      </c>
      <c r="W4" s="165" t="s">
        <v>440</v>
      </c>
      <c r="X4" s="166" t="s">
        <v>155</v>
      </c>
      <c r="Y4" s="91"/>
    </row>
    <row r="5" spans="1:25" ht="33" customHeight="1">
      <c r="A5" s="516"/>
      <c r="C5" s="167" t="s">
        <v>180</v>
      </c>
      <c r="D5" s="176">
        <v>106101172</v>
      </c>
      <c r="E5" s="187">
        <f>ROUND(D5/$D$25*100,1)</f>
        <v>19.2</v>
      </c>
      <c r="F5" s="178">
        <v>104366151</v>
      </c>
      <c r="G5" s="187">
        <f>ROUND(F5/$F$25*100,1)</f>
        <v>19.4</v>
      </c>
      <c r="H5" s="179">
        <f aca="true" t="shared" si="0" ref="H5:H29">D5-F5</f>
        <v>1735021</v>
      </c>
      <c r="I5" s="180">
        <f aca="true" t="shared" si="1" ref="I5:I15">ROUND((D5-F5)/F5*100,1)</f>
        <v>1.7</v>
      </c>
      <c r="J5" s="176">
        <v>43975883</v>
      </c>
      <c r="K5" s="187">
        <f>ROUND(J5/$J$25*100,1)</f>
        <v>20.6</v>
      </c>
      <c r="L5" s="178">
        <v>44795474</v>
      </c>
      <c r="M5" s="187">
        <f>ROUND(L5/$L$25*100,1)</f>
        <v>21.2</v>
      </c>
      <c r="N5" s="179">
        <f aca="true" t="shared" si="2" ref="N5:N29">J5-L5</f>
        <v>-819591</v>
      </c>
      <c r="O5" s="180">
        <f aca="true" t="shared" si="3" ref="O5:O15">ROUND((J5-L5)/L5*100,1)</f>
        <v>-1.8</v>
      </c>
      <c r="P5" s="176">
        <v>150077055</v>
      </c>
      <c r="Q5" s="187">
        <f>ROUND(P5/$P$25*100,1)</f>
        <v>19.6</v>
      </c>
      <c r="R5" s="178">
        <v>149161625</v>
      </c>
      <c r="S5" s="187">
        <f>ROUND(R5/$R$25*100,1)</f>
        <v>19.9</v>
      </c>
      <c r="T5" s="183">
        <f aca="true" t="shared" si="4" ref="T5:T29">P5-R5</f>
        <v>915430</v>
      </c>
      <c r="U5" s="180">
        <f aca="true" t="shared" si="5" ref="U5:U15">ROUND((P5-R5)/R5*100,1)</f>
        <v>0.6</v>
      </c>
      <c r="V5" s="264">
        <v>-2</v>
      </c>
      <c r="W5" s="265" t="s">
        <v>300</v>
      </c>
      <c r="X5" s="252"/>
      <c r="Y5" s="91"/>
    </row>
    <row r="6" spans="1:25" ht="33" customHeight="1">
      <c r="A6" s="516"/>
      <c r="C6" s="168" t="s">
        <v>181</v>
      </c>
      <c r="D6" s="186">
        <v>72905259</v>
      </c>
      <c r="E6" s="187">
        <f aca="true" t="shared" si="6" ref="E6:E29">ROUND(D6/$D$25*100,1)</f>
        <v>13.2</v>
      </c>
      <c r="F6" s="188">
        <v>71090881</v>
      </c>
      <c r="G6" s="187">
        <f aca="true" t="shared" si="7" ref="G6:G29">ROUND(F6/$F$25*100,1)</f>
        <v>13.2</v>
      </c>
      <c r="H6" s="189">
        <f t="shared" si="0"/>
        <v>1814378</v>
      </c>
      <c r="I6" s="190">
        <f t="shared" si="1"/>
        <v>2.6</v>
      </c>
      <c r="J6" s="186">
        <v>25991563</v>
      </c>
      <c r="K6" s="187">
        <f aca="true" t="shared" si="8" ref="K6:K29">ROUND(J6/$J$25*100,1)</f>
        <v>12.2</v>
      </c>
      <c r="L6" s="188">
        <v>25518936</v>
      </c>
      <c r="M6" s="187">
        <f aca="true" t="shared" si="9" ref="M6:M29">ROUND(L6/$L$25*100,1)</f>
        <v>12.1</v>
      </c>
      <c r="N6" s="189">
        <f t="shared" si="2"/>
        <v>472627</v>
      </c>
      <c r="O6" s="190">
        <f t="shared" si="3"/>
        <v>1.9</v>
      </c>
      <c r="P6" s="186">
        <v>98896822</v>
      </c>
      <c r="Q6" s="187">
        <f aca="true" t="shared" si="10" ref="Q6:Q29">ROUND(P6/$P$25*100,1)</f>
        <v>12.9</v>
      </c>
      <c r="R6" s="188">
        <v>96609817</v>
      </c>
      <c r="S6" s="187">
        <f aca="true" t="shared" si="11" ref="S6:S29">ROUND(R6/$R$25*100,1)</f>
        <v>12.9</v>
      </c>
      <c r="T6" s="192">
        <f t="shared" si="4"/>
        <v>2287005</v>
      </c>
      <c r="U6" s="190">
        <f t="shared" si="5"/>
        <v>2.4</v>
      </c>
      <c r="V6" s="195">
        <v>-3.7</v>
      </c>
      <c r="W6" s="196" t="s">
        <v>314</v>
      </c>
      <c r="X6" s="253"/>
      <c r="Y6" s="91"/>
    </row>
    <row r="7" spans="1:25" ht="33" customHeight="1">
      <c r="A7" s="516"/>
      <c r="C7" s="168" t="s">
        <v>182</v>
      </c>
      <c r="D7" s="254">
        <v>8454017</v>
      </c>
      <c r="E7" s="255">
        <f t="shared" si="6"/>
        <v>1.5</v>
      </c>
      <c r="F7" s="256">
        <v>8693206</v>
      </c>
      <c r="G7" s="255">
        <f t="shared" si="7"/>
        <v>1.6</v>
      </c>
      <c r="H7" s="257">
        <f t="shared" si="0"/>
        <v>-239189</v>
      </c>
      <c r="I7" s="194">
        <f t="shared" si="1"/>
        <v>-2.8</v>
      </c>
      <c r="J7" s="254">
        <v>2787136</v>
      </c>
      <c r="K7" s="255">
        <f t="shared" si="8"/>
        <v>1.3</v>
      </c>
      <c r="L7" s="256">
        <v>2549416</v>
      </c>
      <c r="M7" s="255">
        <f t="shared" si="9"/>
        <v>1.2</v>
      </c>
      <c r="N7" s="189">
        <f t="shared" si="2"/>
        <v>237720</v>
      </c>
      <c r="O7" s="190">
        <f t="shared" si="3"/>
        <v>9.3</v>
      </c>
      <c r="P7" s="186">
        <v>11241153</v>
      </c>
      <c r="Q7" s="187">
        <f t="shared" si="10"/>
        <v>1.5</v>
      </c>
      <c r="R7" s="188">
        <v>11242622</v>
      </c>
      <c r="S7" s="187">
        <f t="shared" si="11"/>
        <v>1.5</v>
      </c>
      <c r="T7" s="192">
        <f t="shared" si="4"/>
        <v>-1469</v>
      </c>
      <c r="U7" s="190">
        <f t="shared" si="5"/>
        <v>0</v>
      </c>
      <c r="V7" s="195">
        <v>-10</v>
      </c>
      <c r="W7" s="196" t="s">
        <v>315</v>
      </c>
      <c r="X7" s="253">
        <v>0</v>
      </c>
      <c r="Y7" s="91"/>
    </row>
    <row r="8" spans="1:25" ht="33" customHeight="1">
      <c r="A8" s="516"/>
      <c r="C8" s="168" t="s">
        <v>183</v>
      </c>
      <c r="D8" s="254">
        <v>73564096</v>
      </c>
      <c r="E8" s="255">
        <f t="shared" si="6"/>
        <v>13.3</v>
      </c>
      <c r="F8" s="256">
        <v>68981395</v>
      </c>
      <c r="G8" s="255">
        <f t="shared" si="7"/>
        <v>12.8</v>
      </c>
      <c r="H8" s="257">
        <f t="shared" si="0"/>
        <v>4582701</v>
      </c>
      <c r="I8" s="194">
        <f t="shared" si="1"/>
        <v>6.6</v>
      </c>
      <c r="J8" s="254">
        <v>10636360</v>
      </c>
      <c r="K8" s="255">
        <f t="shared" si="8"/>
        <v>5</v>
      </c>
      <c r="L8" s="256">
        <v>9792747</v>
      </c>
      <c r="M8" s="255">
        <f t="shared" si="9"/>
        <v>4.6</v>
      </c>
      <c r="N8" s="189">
        <f t="shared" si="2"/>
        <v>843613</v>
      </c>
      <c r="O8" s="190">
        <f t="shared" si="3"/>
        <v>8.6</v>
      </c>
      <c r="P8" s="186">
        <v>84200456</v>
      </c>
      <c r="Q8" s="187">
        <f t="shared" si="10"/>
        <v>11</v>
      </c>
      <c r="R8" s="188">
        <v>78774142</v>
      </c>
      <c r="S8" s="187">
        <f t="shared" si="11"/>
        <v>10.5</v>
      </c>
      <c r="T8" s="192">
        <f t="shared" si="4"/>
        <v>5426314</v>
      </c>
      <c r="U8" s="190">
        <f t="shared" si="5"/>
        <v>6.9</v>
      </c>
      <c r="V8" s="195">
        <v>5.8</v>
      </c>
      <c r="W8" s="196">
        <v>4.3</v>
      </c>
      <c r="X8" s="253"/>
      <c r="Y8" s="91"/>
    </row>
    <row r="9" spans="1:25" ht="33" customHeight="1">
      <c r="A9" s="516"/>
      <c r="C9" s="168" t="s">
        <v>184</v>
      </c>
      <c r="D9" s="254">
        <v>47626336</v>
      </c>
      <c r="E9" s="255">
        <f t="shared" si="6"/>
        <v>8.6</v>
      </c>
      <c r="F9" s="256">
        <v>49095209</v>
      </c>
      <c r="G9" s="255">
        <f t="shared" si="7"/>
        <v>9.1</v>
      </c>
      <c r="H9" s="257">
        <f t="shared" si="0"/>
        <v>-1468873</v>
      </c>
      <c r="I9" s="194">
        <f t="shared" si="1"/>
        <v>-3</v>
      </c>
      <c r="J9" s="254">
        <v>26587853</v>
      </c>
      <c r="K9" s="255">
        <f t="shared" si="8"/>
        <v>12.5</v>
      </c>
      <c r="L9" s="256">
        <v>26600466</v>
      </c>
      <c r="M9" s="255">
        <f t="shared" si="9"/>
        <v>12.6</v>
      </c>
      <c r="N9" s="189">
        <f t="shared" si="2"/>
        <v>-12613</v>
      </c>
      <c r="O9" s="190">
        <f t="shared" si="3"/>
        <v>0</v>
      </c>
      <c r="P9" s="186">
        <v>74214189</v>
      </c>
      <c r="Q9" s="187">
        <f t="shared" si="10"/>
        <v>9.7</v>
      </c>
      <c r="R9" s="188">
        <v>75695675</v>
      </c>
      <c r="S9" s="187">
        <f t="shared" si="11"/>
        <v>10.1</v>
      </c>
      <c r="T9" s="192">
        <f t="shared" si="4"/>
        <v>-1481486</v>
      </c>
      <c r="U9" s="190">
        <f t="shared" si="5"/>
        <v>-2</v>
      </c>
      <c r="V9" s="195">
        <v>4.3</v>
      </c>
      <c r="W9" s="196" t="s">
        <v>316</v>
      </c>
      <c r="X9" s="253"/>
      <c r="Y9" s="91"/>
    </row>
    <row r="10" spans="1:25" ht="33" customHeight="1">
      <c r="A10" s="516"/>
      <c r="C10" s="168" t="s">
        <v>185</v>
      </c>
      <c r="D10" s="254">
        <v>80682195</v>
      </c>
      <c r="E10" s="255">
        <f t="shared" si="6"/>
        <v>14.6</v>
      </c>
      <c r="F10" s="256">
        <v>80727293</v>
      </c>
      <c r="G10" s="255">
        <f t="shared" si="7"/>
        <v>15</v>
      </c>
      <c r="H10" s="257">
        <f t="shared" si="0"/>
        <v>-45098</v>
      </c>
      <c r="I10" s="194">
        <f t="shared" si="1"/>
        <v>-0.1</v>
      </c>
      <c r="J10" s="254">
        <v>33990872</v>
      </c>
      <c r="K10" s="255">
        <f t="shared" si="8"/>
        <v>15.9</v>
      </c>
      <c r="L10" s="256">
        <v>33927971</v>
      </c>
      <c r="M10" s="255">
        <f t="shared" si="9"/>
        <v>16.1</v>
      </c>
      <c r="N10" s="189">
        <f t="shared" si="2"/>
        <v>62901</v>
      </c>
      <c r="O10" s="190">
        <f t="shared" si="3"/>
        <v>0.2</v>
      </c>
      <c r="P10" s="186">
        <v>114673067</v>
      </c>
      <c r="Q10" s="187">
        <f t="shared" si="10"/>
        <v>15</v>
      </c>
      <c r="R10" s="188">
        <v>114655264</v>
      </c>
      <c r="S10" s="187">
        <f t="shared" si="11"/>
        <v>15.3</v>
      </c>
      <c r="T10" s="192">
        <f t="shared" si="4"/>
        <v>17803</v>
      </c>
      <c r="U10" s="190">
        <f t="shared" si="5"/>
        <v>0</v>
      </c>
      <c r="V10" s="195">
        <v>-3.9</v>
      </c>
      <c r="W10" s="196" t="s">
        <v>317</v>
      </c>
      <c r="X10" s="253">
        <v>-9.6</v>
      </c>
      <c r="Y10" s="91"/>
    </row>
    <row r="11" spans="1:25" ht="33" customHeight="1">
      <c r="A11" s="516"/>
      <c r="C11" s="168" t="s">
        <v>66</v>
      </c>
      <c r="D11" s="254">
        <v>27188824</v>
      </c>
      <c r="E11" s="255">
        <f t="shared" si="6"/>
        <v>4.9</v>
      </c>
      <c r="F11" s="256">
        <v>24260777</v>
      </c>
      <c r="G11" s="255">
        <f t="shared" si="7"/>
        <v>4.5</v>
      </c>
      <c r="H11" s="257">
        <f t="shared" si="0"/>
        <v>2928047</v>
      </c>
      <c r="I11" s="194">
        <f t="shared" si="1"/>
        <v>12.1</v>
      </c>
      <c r="J11" s="254">
        <v>9156665</v>
      </c>
      <c r="K11" s="255">
        <f t="shared" si="8"/>
        <v>4.3</v>
      </c>
      <c r="L11" s="256">
        <v>10276499</v>
      </c>
      <c r="M11" s="255">
        <f t="shared" si="9"/>
        <v>4.9</v>
      </c>
      <c r="N11" s="189">
        <f t="shared" si="2"/>
        <v>-1119834</v>
      </c>
      <c r="O11" s="190">
        <f t="shared" si="3"/>
        <v>-10.9</v>
      </c>
      <c r="P11" s="186">
        <v>36345489</v>
      </c>
      <c r="Q11" s="187">
        <f t="shared" si="10"/>
        <v>4.7</v>
      </c>
      <c r="R11" s="188">
        <v>34537276</v>
      </c>
      <c r="S11" s="187">
        <f t="shared" si="11"/>
        <v>4.6</v>
      </c>
      <c r="T11" s="192">
        <f t="shared" si="4"/>
        <v>1808213</v>
      </c>
      <c r="U11" s="190">
        <f t="shared" si="5"/>
        <v>5.2</v>
      </c>
      <c r="V11" s="195">
        <v>25.5</v>
      </c>
      <c r="W11" s="196" t="s">
        <v>318</v>
      </c>
      <c r="X11" s="253">
        <v>-2.1</v>
      </c>
      <c r="Y11" s="91"/>
    </row>
    <row r="12" spans="1:25" ht="33" customHeight="1">
      <c r="A12" s="516"/>
      <c r="C12" s="168" t="s">
        <v>67</v>
      </c>
      <c r="D12" s="254">
        <v>50144995</v>
      </c>
      <c r="E12" s="255">
        <f t="shared" si="6"/>
        <v>9.1</v>
      </c>
      <c r="F12" s="256">
        <v>52697456</v>
      </c>
      <c r="G12" s="255">
        <f t="shared" si="7"/>
        <v>9.8</v>
      </c>
      <c r="H12" s="257">
        <f t="shared" si="0"/>
        <v>-2552461</v>
      </c>
      <c r="I12" s="194">
        <f t="shared" si="1"/>
        <v>-4.8</v>
      </c>
      <c r="J12" s="254">
        <v>22610934</v>
      </c>
      <c r="K12" s="255">
        <f t="shared" si="8"/>
        <v>10.6</v>
      </c>
      <c r="L12" s="256">
        <v>21084227</v>
      </c>
      <c r="M12" s="255">
        <f t="shared" si="9"/>
        <v>10</v>
      </c>
      <c r="N12" s="189">
        <f t="shared" si="2"/>
        <v>1526707</v>
      </c>
      <c r="O12" s="190">
        <f t="shared" si="3"/>
        <v>7.2</v>
      </c>
      <c r="P12" s="186">
        <v>72755929</v>
      </c>
      <c r="Q12" s="187">
        <f t="shared" si="10"/>
        <v>9.5</v>
      </c>
      <c r="R12" s="188">
        <v>73781683</v>
      </c>
      <c r="S12" s="187">
        <f t="shared" si="11"/>
        <v>9.9</v>
      </c>
      <c r="T12" s="192">
        <f t="shared" si="4"/>
        <v>-1025754</v>
      </c>
      <c r="U12" s="190">
        <f t="shared" si="5"/>
        <v>-1.4</v>
      </c>
      <c r="V12" s="195">
        <v>-8.1</v>
      </c>
      <c r="W12" s="196" t="s">
        <v>319</v>
      </c>
      <c r="X12" s="253">
        <v>-14.6</v>
      </c>
      <c r="Y12" s="91"/>
    </row>
    <row r="13" spans="1:25" ht="33" customHeight="1">
      <c r="A13" s="516"/>
      <c r="C13" s="168" t="s">
        <v>186</v>
      </c>
      <c r="D13" s="254">
        <v>1925556</v>
      </c>
      <c r="E13" s="255">
        <f t="shared" si="6"/>
        <v>0.3</v>
      </c>
      <c r="F13" s="256">
        <v>1539876</v>
      </c>
      <c r="G13" s="255">
        <f t="shared" si="7"/>
        <v>0.3</v>
      </c>
      <c r="H13" s="257">
        <f t="shared" si="0"/>
        <v>385680</v>
      </c>
      <c r="I13" s="194">
        <f t="shared" si="1"/>
        <v>25</v>
      </c>
      <c r="J13" s="254">
        <v>2533193</v>
      </c>
      <c r="K13" s="255">
        <f t="shared" si="8"/>
        <v>1.2</v>
      </c>
      <c r="L13" s="256">
        <v>2532077</v>
      </c>
      <c r="M13" s="255">
        <f t="shared" si="9"/>
        <v>1.2</v>
      </c>
      <c r="N13" s="189">
        <f t="shared" si="2"/>
        <v>1116</v>
      </c>
      <c r="O13" s="190">
        <f t="shared" si="3"/>
        <v>0</v>
      </c>
      <c r="P13" s="186">
        <v>4458749</v>
      </c>
      <c r="Q13" s="187">
        <f t="shared" si="10"/>
        <v>0.6</v>
      </c>
      <c r="R13" s="188">
        <v>4071953</v>
      </c>
      <c r="S13" s="187">
        <f t="shared" si="11"/>
        <v>0.5</v>
      </c>
      <c r="T13" s="192">
        <f t="shared" si="4"/>
        <v>386796</v>
      </c>
      <c r="U13" s="190">
        <f t="shared" si="5"/>
        <v>9.5</v>
      </c>
      <c r="V13" s="195">
        <v>27.3</v>
      </c>
      <c r="W13" s="196" t="s">
        <v>320</v>
      </c>
      <c r="X13" s="253">
        <v>-27.6</v>
      </c>
      <c r="Y13" s="91"/>
    </row>
    <row r="14" spans="1:25" ht="33" customHeight="1">
      <c r="A14" s="516"/>
      <c r="B14" s="518">
        <v>21</v>
      </c>
      <c r="C14" s="168" t="s">
        <v>66</v>
      </c>
      <c r="D14" s="254">
        <v>1119675</v>
      </c>
      <c r="E14" s="255">
        <f t="shared" si="6"/>
        <v>0.2</v>
      </c>
      <c r="F14" s="256">
        <v>938188</v>
      </c>
      <c r="G14" s="255">
        <f t="shared" si="7"/>
        <v>0.2</v>
      </c>
      <c r="H14" s="257">
        <f t="shared" si="0"/>
        <v>181487</v>
      </c>
      <c r="I14" s="194">
        <f t="shared" si="1"/>
        <v>19.3</v>
      </c>
      <c r="J14" s="254">
        <v>2189503</v>
      </c>
      <c r="K14" s="255">
        <f t="shared" si="8"/>
        <v>1</v>
      </c>
      <c r="L14" s="256">
        <v>2055738</v>
      </c>
      <c r="M14" s="255">
        <f t="shared" si="9"/>
        <v>1</v>
      </c>
      <c r="N14" s="189">
        <f t="shared" si="2"/>
        <v>133765</v>
      </c>
      <c r="O14" s="190">
        <f t="shared" si="3"/>
        <v>6.5</v>
      </c>
      <c r="P14" s="186">
        <v>3309178</v>
      </c>
      <c r="Q14" s="187">
        <f t="shared" si="10"/>
        <v>0.4</v>
      </c>
      <c r="R14" s="188">
        <v>2993926</v>
      </c>
      <c r="S14" s="187">
        <f t="shared" si="11"/>
        <v>0.4</v>
      </c>
      <c r="T14" s="192">
        <f t="shared" si="4"/>
        <v>315252</v>
      </c>
      <c r="U14" s="190">
        <f t="shared" si="5"/>
        <v>10.5</v>
      </c>
      <c r="V14" s="195">
        <v>11.8</v>
      </c>
      <c r="W14" s="196" t="s">
        <v>321</v>
      </c>
      <c r="X14" s="253">
        <v>-4.3</v>
      </c>
      <c r="Y14" s="91"/>
    </row>
    <row r="15" spans="1:25" ht="33" customHeight="1">
      <c r="A15" s="516"/>
      <c r="B15" s="518"/>
      <c r="C15" s="168" t="s">
        <v>67</v>
      </c>
      <c r="D15" s="254">
        <v>802424</v>
      </c>
      <c r="E15" s="255">
        <f t="shared" si="6"/>
        <v>0.1</v>
      </c>
      <c r="F15" s="256">
        <v>600620</v>
      </c>
      <c r="G15" s="255">
        <f t="shared" si="7"/>
        <v>0.1</v>
      </c>
      <c r="H15" s="257">
        <f t="shared" si="0"/>
        <v>201804</v>
      </c>
      <c r="I15" s="194">
        <f t="shared" si="1"/>
        <v>33.6</v>
      </c>
      <c r="J15" s="254">
        <v>343690</v>
      </c>
      <c r="K15" s="255">
        <f t="shared" si="8"/>
        <v>0.2</v>
      </c>
      <c r="L15" s="256">
        <v>476339</v>
      </c>
      <c r="M15" s="255">
        <f t="shared" si="9"/>
        <v>0.2</v>
      </c>
      <c r="N15" s="189">
        <f t="shared" si="2"/>
        <v>-132649</v>
      </c>
      <c r="O15" s="190">
        <f t="shared" si="3"/>
        <v>-27.8</v>
      </c>
      <c r="P15" s="186">
        <v>1146114</v>
      </c>
      <c r="Q15" s="187">
        <f t="shared" si="10"/>
        <v>0.1</v>
      </c>
      <c r="R15" s="188">
        <v>1076959</v>
      </c>
      <c r="S15" s="187">
        <f t="shared" si="11"/>
        <v>0.1</v>
      </c>
      <c r="T15" s="192">
        <f t="shared" si="4"/>
        <v>69155</v>
      </c>
      <c r="U15" s="190">
        <f t="shared" si="5"/>
        <v>6.4</v>
      </c>
      <c r="V15" s="195">
        <v>106.8</v>
      </c>
      <c r="W15" s="196" t="s">
        <v>322</v>
      </c>
      <c r="X15" s="253">
        <v>-36.1</v>
      </c>
      <c r="Y15" s="91"/>
    </row>
    <row r="16" spans="1:25" ht="33" customHeight="1">
      <c r="A16" s="516"/>
      <c r="B16" s="518"/>
      <c r="C16" s="168" t="s">
        <v>187</v>
      </c>
      <c r="D16" s="254">
        <v>0</v>
      </c>
      <c r="E16" s="255">
        <f t="shared" si="6"/>
        <v>0</v>
      </c>
      <c r="F16" s="256">
        <v>0</v>
      </c>
      <c r="G16" s="255">
        <f t="shared" si="7"/>
        <v>0</v>
      </c>
      <c r="H16" s="257">
        <f t="shared" si="0"/>
        <v>0</v>
      </c>
      <c r="I16" s="194">
        <v>0</v>
      </c>
      <c r="J16" s="254">
        <v>0</v>
      </c>
      <c r="K16" s="255">
        <f t="shared" si="8"/>
        <v>0</v>
      </c>
      <c r="L16" s="256">
        <v>0</v>
      </c>
      <c r="M16" s="255">
        <f t="shared" si="9"/>
        <v>0</v>
      </c>
      <c r="N16" s="189">
        <f t="shared" si="2"/>
        <v>0</v>
      </c>
      <c r="O16" s="190">
        <v>0</v>
      </c>
      <c r="P16" s="186">
        <v>0</v>
      </c>
      <c r="Q16" s="187">
        <f t="shared" si="10"/>
        <v>0</v>
      </c>
      <c r="R16" s="188">
        <v>0</v>
      </c>
      <c r="S16" s="187">
        <f t="shared" si="11"/>
        <v>0</v>
      </c>
      <c r="T16" s="192">
        <f t="shared" si="4"/>
        <v>0</v>
      </c>
      <c r="U16" s="190">
        <v>0</v>
      </c>
      <c r="V16" s="195">
        <v>0</v>
      </c>
      <c r="W16" s="196">
        <v>0</v>
      </c>
      <c r="X16" s="253"/>
      <c r="Y16" s="91"/>
    </row>
    <row r="17" spans="1:25" ht="33" customHeight="1">
      <c r="A17" s="516"/>
      <c r="C17" s="168" t="s">
        <v>66</v>
      </c>
      <c r="D17" s="254">
        <v>0</v>
      </c>
      <c r="E17" s="255">
        <f t="shared" si="6"/>
        <v>0</v>
      </c>
      <c r="F17" s="256">
        <v>0</v>
      </c>
      <c r="G17" s="255">
        <f t="shared" si="7"/>
        <v>0</v>
      </c>
      <c r="H17" s="257">
        <f t="shared" si="0"/>
        <v>0</v>
      </c>
      <c r="I17" s="194">
        <v>0</v>
      </c>
      <c r="J17" s="254">
        <v>0</v>
      </c>
      <c r="K17" s="255">
        <f t="shared" si="8"/>
        <v>0</v>
      </c>
      <c r="L17" s="256">
        <v>0</v>
      </c>
      <c r="M17" s="255">
        <f t="shared" si="9"/>
        <v>0</v>
      </c>
      <c r="N17" s="189">
        <f t="shared" si="2"/>
        <v>0</v>
      </c>
      <c r="O17" s="190">
        <v>0</v>
      </c>
      <c r="P17" s="186">
        <v>0</v>
      </c>
      <c r="Q17" s="187">
        <f t="shared" si="10"/>
        <v>0</v>
      </c>
      <c r="R17" s="188">
        <v>0</v>
      </c>
      <c r="S17" s="187">
        <f t="shared" si="11"/>
        <v>0</v>
      </c>
      <c r="T17" s="192">
        <f t="shared" si="4"/>
        <v>0</v>
      </c>
      <c r="U17" s="190">
        <v>0</v>
      </c>
      <c r="V17" s="195">
        <v>0</v>
      </c>
      <c r="W17" s="196">
        <v>0</v>
      </c>
      <c r="X17" s="253"/>
      <c r="Y17" s="91"/>
    </row>
    <row r="18" spans="1:25" ht="33" customHeight="1">
      <c r="A18" s="516"/>
      <c r="C18" s="168" t="s">
        <v>67</v>
      </c>
      <c r="D18" s="186">
        <v>0</v>
      </c>
      <c r="E18" s="187">
        <f t="shared" si="6"/>
        <v>0</v>
      </c>
      <c r="F18" s="188">
        <v>0</v>
      </c>
      <c r="G18" s="187">
        <f t="shared" si="7"/>
        <v>0</v>
      </c>
      <c r="H18" s="189">
        <f t="shared" si="0"/>
        <v>0</v>
      </c>
      <c r="I18" s="190">
        <v>0</v>
      </c>
      <c r="J18" s="186">
        <v>0</v>
      </c>
      <c r="K18" s="187">
        <f t="shared" si="8"/>
        <v>0</v>
      </c>
      <c r="L18" s="188">
        <v>0</v>
      </c>
      <c r="M18" s="187">
        <f t="shared" si="9"/>
        <v>0</v>
      </c>
      <c r="N18" s="189">
        <f t="shared" si="2"/>
        <v>0</v>
      </c>
      <c r="O18" s="190">
        <v>0</v>
      </c>
      <c r="P18" s="186">
        <v>0</v>
      </c>
      <c r="Q18" s="187">
        <f t="shared" si="10"/>
        <v>0</v>
      </c>
      <c r="R18" s="188">
        <v>0</v>
      </c>
      <c r="S18" s="187">
        <f t="shared" si="11"/>
        <v>0</v>
      </c>
      <c r="T18" s="192">
        <f t="shared" si="4"/>
        <v>0</v>
      </c>
      <c r="U18" s="190">
        <v>0</v>
      </c>
      <c r="V18" s="195">
        <v>0</v>
      </c>
      <c r="W18" s="196">
        <v>0</v>
      </c>
      <c r="X18" s="253"/>
      <c r="Y18" s="91"/>
    </row>
    <row r="19" spans="1:25" ht="33" customHeight="1">
      <c r="A19" s="516"/>
      <c r="C19" s="168" t="s">
        <v>188</v>
      </c>
      <c r="D19" s="186">
        <v>74679845</v>
      </c>
      <c r="E19" s="187">
        <f t="shared" si="6"/>
        <v>13.5</v>
      </c>
      <c r="F19" s="188">
        <v>72310327</v>
      </c>
      <c r="G19" s="187">
        <f t="shared" si="7"/>
        <v>13.5</v>
      </c>
      <c r="H19" s="189">
        <f t="shared" si="0"/>
        <v>2369518</v>
      </c>
      <c r="I19" s="190">
        <f>ROUND((D19-F19)/F19*100,1)</f>
        <v>3.3</v>
      </c>
      <c r="J19" s="186">
        <v>31177175</v>
      </c>
      <c r="K19" s="187">
        <f t="shared" si="8"/>
        <v>14.6</v>
      </c>
      <c r="L19" s="188">
        <v>31212264</v>
      </c>
      <c r="M19" s="187">
        <f t="shared" si="9"/>
        <v>14.8</v>
      </c>
      <c r="N19" s="189">
        <f t="shared" si="2"/>
        <v>-35089</v>
      </c>
      <c r="O19" s="190">
        <f aca="true" t="shared" si="12" ref="O19:O29">ROUND((J19-L19)/L19*100,1)</f>
        <v>-0.1</v>
      </c>
      <c r="P19" s="186">
        <v>105857020</v>
      </c>
      <c r="Q19" s="187">
        <f t="shared" si="10"/>
        <v>13.8</v>
      </c>
      <c r="R19" s="188">
        <v>103522591</v>
      </c>
      <c r="S19" s="187">
        <f t="shared" si="11"/>
        <v>13.8</v>
      </c>
      <c r="T19" s="192">
        <f t="shared" si="4"/>
        <v>2334429</v>
      </c>
      <c r="U19" s="190">
        <f aca="true" t="shared" si="13" ref="U19:U29">ROUND((P19-R19)/R19*100,1)</f>
        <v>2.3</v>
      </c>
      <c r="V19" s="195">
        <v>1.3</v>
      </c>
      <c r="W19" s="196" t="s">
        <v>323</v>
      </c>
      <c r="X19" s="253">
        <v>-1.1</v>
      </c>
      <c r="Y19" s="91"/>
    </row>
    <row r="20" spans="1:25" ht="33" customHeight="1">
      <c r="A20" s="516"/>
      <c r="C20" s="168" t="s">
        <v>68</v>
      </c>
      <c r="D20" s="186">
        <v>13006463</v>
      </c>
      <c r="E20" s="187">
        <f t="shared" si="6"/>
        <v>2.4</v>
      </c>
      <c r="F20" s="188">
        <v>12226623</v>
      </c>
      <c r="G20" s="187">
        <f t="shared" si="7"/>
        <v>2.3</v>
      </c>
      <c r="H20" s="189">
        <f t="shared" si="0"/>
        <v>779840</v>
      </c>
      <c r="I20" s="190">
        <f>ROUND((D20-F20)/F20*100,1)</f>
        <v>6.4</v>
      </c>
      <c r="J20" s="186">
        <v>8185453</v>
      </c>
      <c r="K20" s="187">
        <f t="shared" si="8"/>
        <v>3.8</v>
      </c>
      <c r="L20" s="188">
        <v>7125693</v>
      </c>
      <c r="M20" s="187">
        <f t="shared" si="9"/>
        <v>3.4</v>
      </c>
      <c r="N20" s="189">
        <f t="shared" si="2"/>
        <v>1059760</v>
      </c>
      <c r="O20" s="190">
        <f t="shared" si="12"/>
        <v>14.9</v>
      </c>
      <c r="P20" s="186">
        <v>21191916</v>
      </c>
      <c r="Q20" s="187">
        <f t="shared" si="10"/>
        <v>2.8</v>
      </c>
      <c r="R20" s="188">
        <v>19352316</v>
      </c>
      <c r="S20" s="187">
        <f t="shared" si="11"/>
        <v>2.6</v>
      </c>
      <c r="T20" s="192">
        <f t="shared" si="4"/>
        <v>1839600</v>
      </c>
      <c r="U20" s="190">
        <f t="shared" si="13"/>
        <v>9.5</v>
      </c>
      <c r="V20" s="195">
        <v>-31.6</v>
      </c>
      <c r="W20" s="196">
        <v>26.5</v>
      </c>
      <c r="X20" s="253"/>
      <c r="Y20" s="91"/>
    </row>
    <row r="21" spans="1:25" ht="33" customHeight="1">
      <c r="A21" s="516"/>
      <c r="C21" s="168" t="s">
        <v>69</v>
      </c>
      <c r="D21" s="186">
        <v>4908303</v>
      </c>
      <c r="E21" s="187">
        <f t="shared" si="6"/>
        <v>0.9</v>
      </c>
      <c r="F21" s="188">
        <v>1788448</v>
      </c>
      <c r="G21" s="187">
        <f t="shared" si="7"/>
        <v>0.3</v>
      </c>
      <c r="H21" s="189">
        <f t="shared" si="0"/>
        <v>3119855</v>
      </c>
      <c r="I21" s="190">
        <f>ROUND((D21-F21)/F21*100,1)</f>
        <v>174.4</v>
      </c>
      <c r="J21" s="186">
        <v>1157519</v>
      </c>
      <c r="K21" s="187">
        <f t="shared" si="8"/>
        <v>0.5</v>
      </c>
      <c r="L21" s="188">
        <v>1601428</v>
      </c>
      <c r="M21" s="187">
        <f t="shared" si="9"/>
        <v>0.8</v>
      </c>
      <c r="N21" s="189">
        <f t="shared" si="2"/>
        <v>-443909</v>
      </c>
      <c r="O21" s="190">
        <f t="shared" si="12"/>
        <v>-27.7</v>
      </c>
      <c r="P21" s="186">
        <v>6065822</v>
      </c>
      <c r="Q21" s="187">
        <f t="shared" si="10"/>
        <v>0.8</v>
      </c>
      <c r="R21" s="188">
        <v>3389876</v>
      </c>
      <c r="S21" s="187">
        <f t="shared" si="11"/>
        <v>0.5</v>
      </c>
      <c r="T21" s="192">
        <f t="shared" si="4"/>
        <v>2675946</v>
      </c>
      <c r="U21" s="190">
        <f t="shared" si="13"/>
        <v>78.9</v>
      </c>
      <c r="V21" s="195">
        <v>-11.7</v>
      </c>
      <c r="W21" s="196">
        <v>3.4</v>
      </c>
      <c r="X21" s="253"/>
      <c r="Y21" s="91"/>
    </row>
    <row r="22" spans="1:25" ht="33" customHeight="1">
      <c r="A22" s="516"/>
      <c r="C22" s="168" t="s">
        <v>70</v>
      </c>
      <c r="D22" s="186">
        <v>10112275</v>
      </c>
      <c r="E22" s="187">
        <f t="shared" si="6"/>
        <v>1.8</v>
      </c>
      <c r="F22" s="188">
        <v>8815909</v>
      </c>
      <c r="G22" s="187">
        <f t="shared" si="7"/>
        <v>1.6</v>
      </c>
      <c r="H22" s="189">
        <f t="shared" si="0"/>
        <v>1296366</v>
      </c>
      <c r="I22" s="190">
        <f>ROUND((D22-F22)/F22*100,1)</f>
        <v>14.7</v>
      </c>
      <c r="J22" s="186">
        <v>1720224</v>
      </c>
      <c r="K22" s="187">
        <f t="shared" si="8"/>
        <v>0.8</v>
      </c>
      <c r="L22" s="188">
        <v>1554452</v>
      </c>
      <c r="M22" s="187">
        <f t="shared" si="9"/>
        <v>0.7</v>
      </c>
      <c r="N22" s="189">
        <f t="shared" si="2"/>
        <v>165772</v>
      </c>
      <c r="O22" s="190">
        <f t="shared" si="12"/>
        <v>10.7</v>
      </c>
      <c r="P22" s="186">
        <v>11832499</v>
      </c>
      <c r="Q22" s="187">
        <f t="shared" si="10"/>
        <v>1.5</v>
      </c>
      <c r="R22" s="188">
        <v>10370361</v>
      </c>
      <c r="S22" s="187">
        <f t="shared" si="11"/>
        <v>1.4</v>
      </c>
      <c r="T22" s="192">
        <f t="shared" si="4"/>
        <v>1462138</v>
      </c>
      <c r="U22" s="190">
        <f t="shared" si="13"/>
        <v>14.1</v>
      </c>
      <c r="V22" s="195">
        <v>-18.2</v>
      </c>
      <c r="W22" s="196">
        <v>6.3</v>
      </c>
      <c r="X22" s="253"/>
      <c r="Y22" s="91"/>
    </row>
    <row r="23" spans="1:25" ht="33" customHeight="1">
      <c r="A23" s="516"/>
      <c r="C23" s="168" t="s">
        <v>71</v>
      </c>
      <c r="D23" s="186">
        <v>58248699</v>
      </c>
      <c r="E23" s="187">
        <f t="shared" si="6"/>
        <v>10.5</v>
      </c>
      <c r="F23" s="188">
        <v>57878503</v>
      </c>
      <c r="G23" s="187">
        <f t="shared" si="7"/>
        <v>10.8</v>
      </c>
      <c r="H23" s="189">
        <f t="shared" si="0"/>
        <v>370196</v>
      </c>
      <c r="I23" s="190">
        <f>ROUND((D23-F23)/F23*100,1)</f>
        <v>0.6</v>
      </c>
      <c r="J23" s="186">
        <v>24402499</v>
      </c>
      <c r="K23" s="187">
        <f t="shared" si="8"/>
        <v>11.4</v>
      </c>
      <c r="L23" s="188">
        <v>23811237</v>
      </c>
      <c r="M23" s="187">
        <f t="shared" si="9"/>
        <v>11.3</v>
      </c>
      <c r="N23" s="189">
        <f t="shared" si="2"/>
        <v>591262</v>
      </c>
      <c r="O23" s="190">
        <f t="shared" si="12"/>
        <v>2.5</v>
      </c>
      <c r="P23" s="186">
        <v>82651198</v>
      </c>
      <c r="Q23" s="187">
        <f t="shared" si="10"/>
        <v>10.8</v>
      </c>
      <c r="R23" s="188">
        <v>81689740</v>
      </c>
      <c r="S23" s="187">
        <f t="shared" si="11"/>
        <v>10.9</v>
      </c>
      <c r="T23" s="192">
        <f t="shared" si="4"/>
        <v>961458</v>
      </c>
      <c r="U23" s="190">
        <f t="shared" si="13"/>
        <v>1.2</v>
      </c>
      <c r="V23" s="195">
        <v>1.7</v>
      </c>
      <c r="W23" s="196" t="s">
        <v>324</v>
      </c>
      <c r="X23" s="253"/>
      <c r="Y23" s="91"/>
    </row>
    <row r="24" spans="1:25" ht="33" customHeight="1" thickBot="1">
      <c r="A24" s="516"/>
      <c r="C24" s="113" t="s">
        <v>72</v>
      </c>
      <c r="D24" s="197">
        <v>0</v>
      </c>
      <c r="E24" s="198">
        <f t="shared" si="6"/>
        <v>0</v>
      </c>
      <c r="F24" s="199">
        <v>0</v>
      </c>
      <c r="G24" s="198">
        <f t="shared" si="7"/>
        <v>0</v>
      </c>
      <c r="H24" s="200">
        <f t="shared" si="0"/>
        <v>0</v>
      </c>
      <c r="I24" s="190">
        <v>0</v>
      </c>
      <c r="J24" s="197">
        <v>0</v>
      </c>
      <c r="K24" s="198">
        <f t="shared" si="8"/>
        <v>0</v>
      </c>
      <c r="L24" s="199">
        <v>0</v>
      </c>
      <c r="M24" s="198">
        <f t="shared" si="9"/>
        <v>0</v>
      </c>
      <c r="N24" s="200">
        <f t="shared" si="2"/>
        <v>0</v>
      </c>
      <c r="O24" s="258">
        <v>0</v>
      </c>
      <c r="P24" s="197">
        <v>0</v>
      </c>
      <c r="Q24" s="198">
        <f t="shared" si="10"/>
        <v>0</v>
      </c>
      <c r="R24" s="199">
        <v>0</v>
      </c>
      <c r="S24" s="198">
        <f t="shared" si="11"/>
        <v>0</v>
      </c>
      <c r="T24" s="202">
        <f t="shared" si="4"/>
        <v>0</v>
      </c>
      <c r="U24" s="258">
        <v>0</v>
      </c>
      <c r="V24" s="204" t="s">
        <v>456</v>
      </c>
      <c r="W24" s="205" t="s">
        <v>325</v>
      </c>
      <c r="X24" s="259"/>
      <c r="Y24" s="91"/>
    </row>
    <row r="25" spans="1:25" ht="33" customHeight="1" thickBot="1">
      <c r="A25" s="516"/>
      <c r="C25" s="169" t="s">
        <v>73</v>
      </c>
      <c r="D25" s="206">
        <f>SUM(D5:D24)-D11-D12-D14-D15-D17-D18</f>
        <v>552214216</v>
      </c>
      <c r="E25" s="207">
        <f t="shared" si="6"/>
        <v>100</v>
      </c>
      <c r="F25" s="208">
        <f>SUM(F5:F24)-F11-F12-F14-F15-F17-F18</f>
        <v>537513821</v>
      </c>
      <c r="G25" s="207">
        <f t="shared" si="7"/>
        <v>100</v>
      </c>
      <c r="H25" s="209">
        <f t="shared" si="0"/>
        <v>14700395</v>
      </c>
      <c r="I25" s="210">
        <f>ROUND((D25-F25)/F25*100,1)</f>
        <v>2.7</v>
      </c>
      <c r="J25" s="206">
        <f>SUM(J5:J24)-J11-J12-J14-J15-J17-J18</f>
        <v>213145730</v>
      </c>
      <c r="K25" s="207">
        <f t="shared" si="8"/>
        <v>100</v>
      </c>
      <c r="L25" s="208">
        <f>SUM(L5:L24)-L11-L12-L14-L15-L17-L18</f>
        <v>211022161</v>
      </c>
      <c r="M25" s="207">
        <f t="shared" si="9"/>
        <v>100</v>
      </c>
      <c r="N25" s="209">
        <f t="shared" si="2"/>
        <v>2123569</v>
      </c>
      <c r="O25" s="210">
        <f t="shared" si="12"/>
        <v>1</v>
      </c>
      <c r="P25" s="206">
        <f>D25+J25</f>
        <v>765359946</v>
      </c>
      <c r="Q25" s="207">
        <f t="shared" si="10"/>
        <v>100</v>
      </c>
      <c r="R25" s="208">
        <f>F25+L25</f>
        <v>748535982</v>
      </c>
      <c r="S25" s="207">
        <f t="shared" si="11"/>
        <v>100</v>
      </c>
      <c r="T25" s="212">
        <f t="shared" si="4"/>
        <v>16823964</v>
      </c>
      <c r="U25" s="210">
        <f t="shared" si="13"/>
        <v>2.2</v>
      </c>
      <c r="V25" s="266">
        <v>-1.8</v>
      </c>
      <c r="W25" s="267" t="s">
        <v>326</v>
      </c>
      <c r="X25" s="260">
        <v>0</v>
      </c>
      <c r="Y25" s="91"/>
    </row>
    <row r="26" spans="1:25" ht="33" customHeight="1">
      <c r="A26" s="516"/>
      <c r="C26" s="172" t="s">
        <v>189</v>
      </c>
      <c r="D26" s="176">
        <v>318755883</v>
      </c>
      <c r="E26" s="177">
        <f t="shared" si="6"/>
        <v>57.7</v>
      </c>
      <c r="F26" s="178">
        <v>316648680</v>
      </c>
      <c r="G26" s="177">
        <f t="shared" si="7"/>
        <v>58.9</v>
      </c>
      <c r="H26" s="179">
        <f t="shared" si="0"/>
        <v>2107203</v>
      </c>
      <c r="I26" s="180">
        <f>ROUND((D26-F26)/F26*100,1)</f>
        <v>0.7</v>
      </c>
      <c r="J26" s="176">
        <v>126797657</v>
      </c>
      <c r="K26" s="177">
        <f t="shared" si="8"/>
        <v>59.5</v>
      </c>
      <c r="L26" s="178">
        <v>127128478</v>
      </c>
      <c r="M26" s="177">
        <f t="shared" si="9"/>
        <v>60.2</v>
      </c>
      <c r="N26" s="179">
        <f t="shared" si="2"/>
        <v>-330821</v>
      </c>
      <c r="O26" s="180">
        <f t="shared" si="12"/>
        <v>-0.3</v>
      </c>
      <c r="P26" s="176">
        <f>D26+J26</f>
        <v>445553540</v>
      </c>
      <c r="Q26" s="177">
        <f t="shared" si="10"/>
        <v>58.2</v>
      </c>
      <c r="R26" s="178">
        <f>F26+L26</f>
        <v>443777158</v>
      </c>
      <c r="S26" s="177">
        <f t="shared" si="11"/>
        <v>59.3</v>
      </c>
      <c r="T26" s="183">
        <f t="shared" si="4"/>
        <v>1776382</v>
      </c>
      <c r="U26" s="180">
        <f t="shared" si="13"/>
        <v>0.4</v>
      </c>
      <c r="V26" s="264">
        <v>2.4</v>
      </c>
      <c r="W26" s="265">
        <v>0.6</v>
      </c>
      <c r="X26" s="261"/>
      <c r="Y26" s="91"/>
    </row>
    <row r="27" spans="1:25" ht="33" customHeight="1">
      <c r="A27" s="516"/>
      <c r="C27" s="170" t="s">
        <v>74</v>
      </c>
      <c r="D27" s="186">
        <f>D5+D8+D19</f>
        <v>254345113</v>
      </c>
      <c r="E27" s="187">
        <f t="shared" si="6"/>
        <v>46.1</v>
      </c>
      <c r="F27" s="188">
        <f>F5+F8+F19</f>
        <v>245657873</v>
      </c>
      <c r="G27" s="187">
        <f t="shared" si="7"/>
        <v>45.7</v>
      </c>
      <c r="H27" s="189">
        <f t="shared" si="0"/>
        <v>8687240</v>
      </c>
      <c r="I27" s="190">
        <f>ROUND((D27-F27)/F27*100,1)</f>
        <v>3.5</v>
      </c>
      <c r="J27" s="186">
        <f>J5+J8+J19</f>
        <v>85789418</v>
      </c>
      <c r="K27" s="187">
        <f t="shared" si="8"/>
        <v>40.2</v>
      </c>
      <c r="L27" s="188">
        <f>L5+L8+L19</f>
        <v>85800485</v>
      </c>
      <c r="M27" s="187">
        <f t="shared" si="9"/>
        <v>40.7</v>
      </c>
      <c r="N27" s="189">
        <f t="shared" si="2"/>
        <v>-11067</v>
      </c>
      <c r="O27" s="190">
        <f t="shared" si="12"/>
        <v>0</v>
      </c>
      <c r="P27" s="186">
        <f>D27+J27</f>
        <v>340134531</v>
      </c>
      <c r="Q27" s="187">
        <f t="shared" si="10"/>
        <v>44.4</v>
      </c>
      <c r="R27" s="188">
        <f>F27+L27</f>
        <v>331458358</v>
      </c>
      <c r="S27" s="187">
        <f t="shared" si="11"/>
        <v>44.3</v>
      </c>
      <c r="T27" s="192">
        <f t="shared" si="4"/>
        <v>8676173</v>
      </c>
      <c r="U27" s="190">
        <f t="shared" si="13"/>
        <v>2.6</v>
      </c>
      <c r="V27" s="195">
        <v>0.8</v>
      </c>
      <c r="W27" s="196">
        <v>0.2</v>
      </c>
      <c r="X27" s="262"/>
      <c r="Y27" s="91"/>
    </row>
    <row r="28" spans="1:25" ht="33" customHeight="1">
      <c r="A28" s="516"/>
      <c r="C28" s="170" t="s">
        <v>75</v>
      </c>
      <c r="D28" s="186">
        <f>D10+D13</f>
        <v>82607751</v>
      </c>
      <c r="E28" s="187">
        <f t="shared" si="6"/>
        <v>15</v>
      </c>
      <c r="F28" s="188">
        <f>F10+F13</f>
        <v>82267169</v>
      </c>
      <c r="G28" s="187">
        <f t="shared" si="7"/>
        <v>15.3</v>
      </c>
      <c r="H28" s="189">
        <f t="shared" si="0"/>
        <v>340582</v>
      </c>
      <c r="I28" s="190">
        <f>ROUND((D28-F28)/F28*100,1)</f>
        <v>0.4</v>
      </c>
      <c r="J28" s="186">
        <f>J10+J13</f>
        <v>36524065</v>
      </c>
      <c r="K28" s="187">
        <f t="shared" si="8"/>
        <v>17.1</v>
      </c>
      <c r="L28" s="188">
        <f>L10+L13</f>
        <v>36460048</v>
      </c>
      <c r="M28" s="187">
        <f t="shared" si="9"/>
        <v>17.3</v>
      </c>
      <c r="N28" s="189">
        <f t="shared" si="2"/>
        <v>64017</v>
      </c>
      <c r="O28" s="190">
        <f t="shared" si="12"/>
        <v>0.2</v>
      </c>
      <c r="P28" s="186">
        <f>D28+J28</f>
        <v>119131816</v>
      </c>
      <c r="Q28" s="187">
        <f t="shared" si="10"/>
        <v>15.6</v>
      </c>
      <c r="R28" s="188">
        <f>F28+L28</f>
        <v>118727217</v>
      </c>
      <c r="S28" s="187">
        <f t="shared" si="11"/>
        <v>15.9</v>
      </c>
      <c r="T28" s="192">
        <f t="shared" si="4"/>
        <v>404599</v>
      </c>
      <c r="U28" s="190">
        <f t="shared" si="13"/>
        <v>0.3</v>
      </c>
      <c r="V28" s="195">
        <v>-3.1</v>
      </c>
      <c r="W28" s="196" t="s">
        <v>327</v>
      </c>
      <c r="X28" s="262"/>
      <c r="Y28" s="91"/>
    </row>
    <row r="29" spans="1:25" ht="33" customHeight="1" thickBot="1">
      <c r="A29" s="516"/>
      <c r="C29" s="171" t="s">
        <v>190</v>
      </c>
      <c r="D29" s="197">
        <f>D25-D27-D28</f>
        <v>215261352</v>
      </c>
      <c r="E29" s="198">
        <f t="shared" si="6"/>
        <v>39</v>
      </c>
      <c r="F29" s="199">
        <f>F25-F27-F28</f>
        <v>209588779</v>
      </c>
      <c r="G29" s="198">
        <f t="shared" si="7"/>
        <v>39</v>
      </c>
      <c r="H29" s="200">
        <f t="shared" si="0"/>
        <v>5672573</v>
      </c>
      <c r="I29" s="201">
        <f>ROUND((D29-F29)/F29*100,1)</f>
        <v>2.7</v>
      </c>
      <c r="J29" s="197">
        <f>J25-J27-J28</f>
        <v>90832247</v>
      </c>
      <c r="K29" s="198">
        <f t="shared" si="8"/>
        <v>42.6</v>
      </c>
      <c r="L29" s="199">
        <f>L25-L27-L28</f>
        <v>88761628</v>
      </c>
      <c r="M29" s="198">
        <f t="shared" si="9"/>
        <v>42.1</v>
      </c>
      <c r="N29" s="200">
        <f t="shared" si="2"/>
        <v>2070619</v>
      </c>
      <c r="O29" s="201">
        <f t="shared" si="12"/>
        <v>2.3</v>
      </c>
      <c r="P29" s="197">
        <f>D29+J29</f>
        <v>306093599</v>
      </c>
      <c r="Q29" s="198">
        <f t="shared" si="10"/>
        <v>40</v>
      </c>
      <c r="R29" s="199">
        <f>F29+L29</f>
        <v>298350407</v>
      </c>
      <c r="S29" s="198">
        <f t="shared" si="11"/>
        <v>39.9</v>
      </c>
      <c r="T29" s="202">
        <f t="shared" si="4"/>
        <v>7743192</v>
      </c>
      <c r="U29" s="201">
        <f t="shared" si="13"/>
        <v>2.6</v>
      </c>
      <c r="V29" s="204">
        <v>-3.9</v>
      </c>
      <c r="W29" s="205">
        <v>1</v>
      </c>
      <c r="X29" s="263"/>
      <c r="Y29" s="91"/>
    </row>
    <row r="30" spans="3:24" ht="33" customHeight="1">
      <c r="C30" s="91"/>
      <c r="D30" s="91"/>
      <c r="E30" s="91"/>
      <c r="F30" s="91"/>
      <c r="G30" s="91"/>
      <c r="H30" s="91"/>
      <c r="I30" s="92"/>
      <c r="J30" s="91"/>
      <c r="K30" s="87"/>
      <c r="L30" s="91"/>
      <c r="M30" s="91"/>
      <c r="N30" s="91"/>
      <c r="O30" s="92"/>
      <c r="P30" s="91"/>
      <c r="Q30" s="87"/>
      <c r="R30" s="91"/>
      <c r="S30" s="91"/>
      <c r="T30" s="91"/>
      <c r="U30" s="92"/>
      <c r="V30" s="91"/>
      <c r="W30" s="91"/>
      <c r="X30" s="91"/>
    </row>
    <row r="31" spans="3:24" ht="33" customHeight="1" hidden="1">
      <c r="C31" s="93" t="s">
        <v>74</v>
      </c>
      <c r="D31" s="94" t="s">
        <v>76</v>
      </c>
      <c r="E31" s="94"/>
      <c r="F31" s="94"/>
      <c r="G31" s="94"/>
      <c r="H31" s="94"/>
      <c r="J31" s="94"/>
      <c r="K31" s="94"/>
      <c r="L31" s="94"/>
      <c r="M31" s="94"/>
      <c r="N31" s="94"/>
      <c r="P31" s="94"/>
      <c r="Q31" s="94"/>
      <c r="R31" s="94"/>
      <c r="S31" s="94"/>
      <c r="T31" s="94"/>
      <c r="V31" s="94"/>
      <c r="W31" s="94"/>
      <c r="X31" s="94"/>
    </row>
    <row r="32" spans="3:21" ht="33" customHeight="1" hidden="1">
      <c r="C32" s="93" t="s">
        <v>75</v>
      </c>
      <c r="D32" s="2" t="s">
        <v>77</v>
      </c>
      <c r="I32" s="94"/>
      <c r="O32" s="94"/>
      <c r="U32" s="94"/>
    </row>
  </sheetData>
  <mergeCells count="3">
    <mergeCell ref="A1:A29"/>
    <mergeCell ref="C3:C4"/>
    <mergeCell ref="B14:B16"/>
  </mergeCells>
  <printOptions/>
  <pageMargins left="0" right="0.3" top="0.7874015748031497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="60" zoomScaleNormal="60" workbookViewId="0" topLeftCell="A1">
      <selection activeCell="N25" sqref="N25:N27"/>
    </sheetView>
  </sheetViews>
  <sheetFormatPr defaultColWidth="9.00390625" defaultRowHeight="46.5" customHeight="1"/>
  <cols>
    <col min="1" max="2" width="9.00390625" style="1" customWidth="1"/>
    <col min="3" max="3" width="23.75390625" style="1" customWidth="1"/>
    <col min="4" max="4" width="13.50390625" style="1" customWidth="1"/>
    <col min="5" max="5" width="7.50390625" style="1" customWidth="1"/>
    <col min="6" max="6" width="13.50390625" style="1" customWidth="1"/>
    <col min="7" max="7" width="7.50390625" style="1" customWidth="1"/>
    <col min="8" max="8" width="13.50390625" style="1" customWidth="1"/>
    <col min="9" max="9" width="7.50390625" style="1" customWidth="1"/>
    <col min="10" max="10" width="13.50390625" style="1" customWidth="1"/>
    <col min="11" max="11" width="7.50390625" style="1" customWidth="1"/>
    <col min="12" max="12" width="13.50390625" style="1" customWidth="1"/>
    <col min="13" max="13" width="7.50390625" style="1" customWidth="1"/>
    <col min="14" max="14" width="13.375" style="1" customWidth="1"/>
    <col min="15" max="15" width="7.50390625" style="1" customWidth="1"/>
    <col min="16" max="16" width="13.50390625" style="1" customWidth="1"/>
    <col min="17" max="17" width="7.50390625" style="1" customWidth="1"/>
    <col min="18" max="18" width="13.50390625" style="1" customWidth="1"/>
    <col min="19" max="19" width="7.50390625" style="1" customWidth="1"/>
    <col min="20" max="20" width="13.375" style="1" customWidth="1"/>
    <col min="21" max="21" width="7.50390625" style="1" customWidth="1"/>
    <col min="22" max="23" width="7.375" style="1" customWidth="1"/>
    <col min="24" max="16384" width="10.75390625" style="1" customWidth="1"/>
  </cols>
  <sheetData>
    <row r="1" spans="1:3" ht="28.5" customHeight="1">
      <c r="A1" s="516"/>
      <c r="C1" s="4" t="s">
        <v>78</v>
      </c>
    </row>
    <row r="2" spans="1:23" ht="28.5" customHeight="1" thickBot="1">
      <c r="A2" s="516"/>
      <c r="W2" s="86" t="s">
        <v>133</v>
      </c>
    </row>
    <row r="3" spans="1:23" ht="46.5" customHeight="1">
      <c r="A3" s="516"/>
      <c r="C3" s="490" t="s">
        <v>457</v>
      </c>
      <c r="D3" s="97"/>
      <c r="E3" s="98"/>
      <c r="F3" s="98" t="s">
        <v>18</v>
      </c>
      <c r="G3" s="98"/>
      <c r="H3" s="98"/>
      <c r="I3" s="99"/>
      <c r="J3" s="97"/>
      <c r="K3" s="98"/>
      <c r="L3" s="98" t="s">
        <v>22</v>
      </c>
      <c r="M3" s="98"/>
      <c r="N3" s="98"/>
      <c r="O3" s="99"/>
      <c r="P3" s="97"/>
      <c r="Q3" s="98"/>
      <c r="R3" s="98" t="s">
        <v>20</v>
      </c>
      <c r="S3" s="98"/>
      <c r="T3" s="98"/>
      <c r="U3" s="99"/>
      <c r="V3" s="519" t="s">
        <v>443</v>
      </c>
      <c r="W3" s="520"/>
    </row>
    <row r="4" spans="1:23" ht="46.5" customHeight="1" thickBot="1">
      <c r="A4" s="516"/>
      <c r="C4" s="517"/>
      <c r="D4" s="103" t="s">
        <v>437</v>
      </c>
      <c r="E4" s="104" t="s">
        <v>23</v>
      </c>
      <c r="F4" s="104" t="s">
        <v>438</v>
      </c>
      <c r="G4" s="104" t="s">
        <v>23</v>
      </c>
      <c r="H4" s="104" t="s">
        <v>24</v>
      </c>
      <c r="I4" s="105" t="s">
        <v>25</v>
      </c>
      <c r="J4" s="103" t="s">
        <v>437</v>
      </c>
      <c r="K4" s="104" t="s">
        <v>23</v>
      </c>
      <c r="L4" s="104" t="s">
        <v>438</v>
      </c>
      <c r="M4" s="104" t="s">
        <v>23</v>
      </c>
      <c r="N4" s="104" t="s">
        <v>24</v>
      </c>
      <c r="O4" s="105" t="s">
        <v>25</v>
      </c>
      <c r="P4" s="103" t="s">
        <v>437</v>
      </c>
      <c r="Q4" s="104" t="s">
        <v>23</v>
      </c>
      <c r="R4" s="104" t="s">
        <v>438</v>
      </c>
      <c r="S4" s="104" t="s">
        <v>23</v>
      </c>
      <c r="T4" s="104" t="s">
        <v>24</v>
      </c>
      <c r="U4" s="105" t="s">
        <v>25</v>
      </c>
      <c r="V4" s="173" t="s">
        <v>439</v>
      </c>
      <c r="W4" s="165" t="s">
        <v>440</v>
      </c>
    </row>
    <row r="5" spans="1:24" ht="46.5" customHeight="1">
      <c r="A5" s="516"/>
      <c r="C5" s="174" t="s">
        <v>191</v>
      </c>
      <c r="D5" s="176">
        <v>4578838</v>
      </c>
      <c r="E5" s="177">
        <v>0.8</v>
      </c>
      <c r="F5" s="178">
        <v>5283935</v>
      </c>
      <c r="G5" s="177">
        <v>1</v>
      </c>
      <c r="H5" s="179">
        <v>-705097</v>
      </c>
      <c r="I5" s="180">
        <v>-13.3</v>
      </c>
      <c r="J5" s="176">
        <v>3596254</v>
      </c>
      <c r="K5" s="177">
        <v>1.7</v>
      </c>
      <c r="L5" s="178">
        <v>3708155</v>
      </c>
      <c r="M5" s="177">
        <v>1.8</v>
      </c>
      <c r="N5" s="179">
        <v>-111901</v>
      </c>
      <c r="O5" s="181">
        <v>-3</v>
      </c>
      <c r="P5" s="176">
        <v>8175092</v>
      </c>
      <c r="Q5" s="177">
        <v>1.1</v>
      </c>
      <c r="R5" s="182">
        <v>8992090</v>
      </c>
      <c r="S5" s="177">
        <v>1.2</v>
      </c>
      <c r="T5" s="183">
        <v>-816998</v>
      </c>
      <c r="U5" s="180">
        <v>-9.1</v>
      </c>
      <c r="V5" s="184">
        <v>-7</v>
      </c>
      <c r="W5" s="185">
        <v>-1.7</v>
      </c>
      <c r="X5" s="87"/>
    </row>
    <row r="6" spans="1:24" ht="46.5" customHeight="1">
      <c r="A6" s="516"/>
      <c r="C6" s="175" t="s">
        <v>192</v>
      </c>
      <c r="D6" s="186">
        <v>79578103</v>
      </c>
      <c r="E6" s="187">
        <v>14.4</v>
      </c>
      <c r="F6" s="188">
        <v>72920439</v>
      </c>
      <c r="G6" s="187">
        <v>13.6</v>
      </c>
      <c r="H6" s="189">
        <v>6657664</v>
      </c>
      <c r="I6" s="190">
        <v>9.1</v>
      </c>
      <c r="J6" s="186">
        <v>37164354</v>
      </c>
      <c r="K6" s="187">
        <v>17.4</v>
      </c>
      <c r="L6" s="188">
        <v>35287660</v>
      </c>
      <c r="M6" s="187">
        <v>16.7</v>
      </c>
      <c r="N6" s="189">
        <v>1876694</v>
      </c>
      <c r="O6" s="191">
        <v>5.3</v>
      </c>
      <c r="P6" s="186">
        <v>116742457</v>
      </c>
      <c r="Q6" s="187">
        <v>15.3</v>
      </c>
      <c r="R6" s="188">
        <v>108208099</v>
      </c>
      <c r="S6" s="187">
        <v>14.5</v>
      </c>
      <c r="T6" s="192">
        <v>8534358</v>
      </c>
      <c r="U6" s="190">
        <v>7.9</v>
      </c>
      <c r="V6" s="193">
        <v>-11</v>
      </c>
      <c r="W6" s="194">
        <v>2.4</v>
      </c>
      <c r="X6" s="87"/>
    </row>
    <row r="7" spans="1:24" ht="46.5" customHeight="1">
      <c r="A7" s="516"/>
      <c r="C7" s="175" t="s">
        <v>193</v>
      </c>
      <c r="D7" s="186">
        <v>138244025</v>
      </c>
      <c r="E7" s="187">
        <v>25</v>
      </c>
      <c r="F7" s="188">
        <v>131995014</v>
      </c>
      <c r="G7" s="187">
        <v>24.6</v>
      </c>
      <c r="H7" s="189">
        <v>6249011</v>
      </c>
      <c r="I7" s="190">
        <v>4.7</v>
      </c>
      <c r="J7" s="186">
        <v>38170848</v>
      </c>
      <c r="K7" s="187">
        <v>17.9</v>
      </c>
      <c r="L7" s="188">
        <v>35909796</v>
      </c>
      <c r="M7" s="187">
        <v>17</v>
      </c>
      <c r="N7" s="189">
        <v>2261052</v>
      </c>
      <c r="O7" s="191">
        <v>6.3</v>
      </c>
      <c r="P7" s="186">
        <v>176414873</v>
      </c>
      <c r="Q7" s="187">
        <v>23</v>
      </c>
      <c r="R7" s="188">
        <v>167904810</v>
      </c>
      <c r="S7" s="187">
        <v>22.4</v>
      </c>
      <c r="T7" s="192">
        <v>8510063</v>
      </c>
      <c r="U7" s="190">
        <v>5.1</v>
      </c>
      <c r="V7" s="193">
        <v>2.3</v>
      </c>
      <c r="W7" s="194">
        <v>2.1</v>
      </c>
      <c r="X7" s="87"/>
    </row>
    <row r="8" spans="1:24" ht="46.5" customHeight="1">
      <c r="A8" s="516"/>
      <c r="C8" s="175" t="s">
        <v>194</v>
      </c>
      <c r="D8" s="186">
        <v>52398971</v>
      </c>
      <c r="E8" s="187">
        <v>9.5</v>
      </c>
      <c r="F8" s="188">
        <v>50816151</v>
      </c>
      <c r="G8" s="187">
        <v>9.5</v>
      </c>
      <c r="H8" s="189">
        <v>1582820</v>
      </c>
      <c r="I8" s="190">
        <v>3.1</v>
      </c>
      <c r="J8" s="186">
        <v>17927629</v>
      </c>
      <c r="K8" s="187">
        <v>8.4</v>
      </c>
      <c r="L8" s="188">
        <v>18263996</v>
      </c>
      <c r="M8" s="187">
        <v>8.7</v>
      </c>
      <c r="N8" s="189">
        <v>-336367</v>
      </c>
      <c r="O8" s="191">
        <v>-1.8</v>
      </c>
      <c r="P8" s="186">
        <v>70326600</v>
      </c>
      <c r="Q8" s="187">
        <v>9.2</v>
      </c>
      <c r="R8" s="188">
        <v>69080147</v>
      </c>
      <c r="S8" s="187">
        <v>9.2</v>
      </c>
      <c r="T8" s="192">
        <v>1246453</v>
      </c>
      <c r="U8" s="190">
        <v>1.8</v>
      </c>
      <c r="V8" s="195">
        <v>4.1</v>
      </c>
      <c r="W8" s="196">
        <v>4.1</v>
      </c>
      <c r="X8" s="87"/>
    </row>
    <row r="9" spans="1:24" ht="46.5" customHeight="1">
      <c r="A9" s="516"/>
      <c r="C9" s="175" t="s">
        <v>195</v>
      </c>
      <c r="D9" s="186">
        <v>873746</v>
      </c>
      <c r="E9" s="187">
        <v>0.2</v>
      </c>
      <c r="F9" s="188">
        <v>1110392</v>
      </c>
      <c r="G9" s="187">
        <v>0.2</v>
      </c>
      <c r="H9" s="189">
        <v>-236646</v>
      </c>
      <c r="I9" s="190">
        <v>-21.3</v>
      </c>
      <c r="J9" s="186">
        <v>134839</v>
      </c>
      <c r="K9" s="187">
        <v>0.1</v>
      </c>
      <c r="L9" s="188">
        <v>137407</v>
      </c>
      <c r="M9" s="187">
        <v>0.1</v>
      </c>
      <c r="N9" s="189">
        <v>-2568</v>
      </c>
      <c r="O9" s="191">
        <v>-1.9</v>
      </c>
      <c r="P9" s="186">
        <v>1008585</v>
      </c>
      <c r="Q9" s="187">
        <v>0.1</v>
      </c>
      <c r="R9" s="188">
        <v>1247799</v>
      </c>
      <c r="S9" s="187">
        <v>0.2</v>
      </c>
      <c r="T9" s="192">
        <v>-239214</v>
      </c>
      <c r="U9" s="190">
        <v>-19.2</v>
      </c>
      <c r="V9" s="193">
        <v>-17.5</v>
      </c>
      <c r="W9" s="194">
        <v>-38.2</v>
      </c>
      <c r="X9" s="87"/>
    </row>
    <row r="10" spans="1:24" ht="46.5" customHeight="1">
      <c r="A10" s="516"/>
      <c r="B10" s="518">
        <v>22</v>
      </c>
      <c r="C10" s="175" t="s">
        <v>458</v>
      </c>
      <c r="D10" s="186">
        <v>19490480</v>
      </c>
      <c r="E10" s="187">
        <v>3.5</v>
      </c>
      <c r="F10" s="188">
        <v>20778026</v>
      </c>
      <c r="G10" s="187">
        <v>3.9</v>
      </c>
      <c r="H10" s="189">
        <v>-1287546</v>
      </c>
      <c r="I10" s="190">
        <v>-6.2</v>
      </c>
      <c r="J10" s="186">
        <v>15784638</v>
      </c>
      <c r="K10" s="187">
        <v>7.4</v>
      </c>
      <c r="L10" s="188">
        <v>16796676</v>
      </c>
      <c r="M10" s="187">
        <v>8</v>
      </c>
      <c r="N10" s="189">
        <v>-1012038</v>
      </c>
      <c r="O10" s="191">
        <v>-6</v>
      </c>
      <c r="P10" s="186">
        <v>35275118</v>
      </c>
      <c r="Q10" s="187">
        <v>4.6</v>
      </c>
      <c r="R10" s="188">
        <v>37574702</v>
      </c>
      <c r="S10" s="187">
        <v>5</v>
      </c>
      <c r="T10" s="192">
        <v>-2299584</v>
      </c>
      <c r="U10" s="190">
        <v>-6.1</v>
      </c>
      <c r="V10" s="193">
        <v>-13.4</v>
      </c>
      <c r="W10" s="194">
        <v>-2</v>
      </c>
      <c r="X10" s="87"/>
    </row>
    <row r="11" spans="1:24" ht="46.5" customHeight="1">
      <c r="A11" s="516"/>
      <c r="B11" s="518"/>
      <c r="C11" s="175" t="s">
        <v>196</v>
      </c>
      <c r="D11" s="186">
        <v>22440693</v>
      </c>
      <c r="E11" s="187">
        <v>4.1</v>
      </c>
      <c r="F11" s="188">
        <v>18809223</v>
      </c>
      <c r="G11" s="187">
        <v>3.5</v>
      </c>
      <c r="H11" s="189">
        <v>3631470</v>
      </c>
      <c r="I11" s="190">
        <v>19.3</v>
      </c>
      <c r="J11" s="186">
        <v>6728110</v>
      </c>
      <c r="K11" s="187">
        <v>3.2</v>
      </c>
      <c r="L11" s="188">
        <v>6246474</v>
      </c>
      <c r="M11" s="187">
        <v>3</v>
      </c>
      <c r="N11" s="189">
        <v>481636</v>
      </c>
      <c r="O11" s="191">
        <v>7.7</v>
      </c>
      <c r="P11" s="186">
        <v>29168803</v>
      </c>
      <c r="Q11" s="187">
        <v>3.8</v>
      </c>
      <c r="R11" s="188">
        <v>25055697</v>
      </c>
      <c r="S11" s="187">
        <v>3.3</v>
      </c>
      <c r="T11" s="192">
        <v>4113106</v>
      </c>
      <c r="U11" s="190">
        <v>16.4</v>
      </c>
      <c r="V11" s="193">
        <v>-6.9</v>
      </c>
      <c r="W11" s="194">
        <v>4.4</v>
      </c>
      <c r="X11" s="87"/>
    </row>
    <row r="12" spans="1:24" ht="46.5" customHeight="1">
      <c r="A12" s="516"/>
      <c r="C12" s="175" t="s">
        <v>197</v>
      </c>
      <c r="D12" s="186">
        <v>74374628</v>
      </c>
      <c r="E12" s="187">
        <v>13.5</v>
      </c>
      <c r="F12" s="188">
        <v>76503815</v>
      </c>
      <c r="G12" s="187">
        <v>14.2</v>
      </c>
      <c r="H12" s="189">
        <v>-2129187</v>
      </c>
      <c r="I12" s="190">
        <v>-2.8</v>
      </c>
      <c r="J12" s="186">
        <v>22855784</v>
      </c>
      <c r="K12" s="187">
        <v>10.7</v>
      </c>
      <c r="L12" s="188">
        <v>22411529</v>
      </c>
      <c r="M12" s="187">
        <v>10.6</v>
      </c>
      <c r="N12" s="189">
        <v>444255</v>
      </c>
      <c r="O12" s="191">
        <v>2</v>
      </c>
      <c r="P12" s="186">
        <v>97230412</v>
      </c>
      <c r="Q12" s="187">
        <v>12.7</v>
      </c>
      <c r="R12" s="188">
        <v>98915344</v>
      </c>
      <c r="S12" s="187">
        <v>13.2</v>
      </c>
      <c r="T12" s="192">
        <v>-1684932</v>
      </c>
      <c r="U12" s="190">
        <v>-1.7</v>
      </c>
      <c r="V12" s="193">
        <v>-3.8</v>
      </c>
      <c r="W12" s="194">
        <v>-3.6</v>
      </c>
      <c r="X12" s="87"/>
    </row>
    <row r="13" spans="1:24" ht="46.5" customHeight="1">
      <c r="A13" s="516"/>
      <c r="C13" s="175" t="s">
        <v>198</v>
      </c>
      <c r="D13" s="186">
        <v>19224956</v>
      </c>
      <c r="E13" s="187">
        <v>3.5</v>
      </c>
      <c r="F13" s="188">
        <v>19215130</v>
      </c>
      <c r="G13" s="187">
        <v>3.6</v>
      </c>
      <c r="H13" s="189">
        <v>9826</v>
      </c>
      <c r="I13" s="190">
        <v>0.1</v>
      </c>
      <c r="J13" s="186">
        <v>9459630</v>
      </c>
      <c r="K13" s="187">
        <v>4.4</v>
      </c>
      <c r="L13" s="188">
        <v>9037579</v>
      </c>
      <c r="M13" s="187">
        <v>4.3</v>
      </c>
      <c r="N13" s="189">
        <v>422051</v>
      </c>
      <c r="O13" s="191">
        <v>4.7</v>
      </c>
      <c r="P13" s="186">
        <v>28684586</v>
      </c>
      <c r="Q13" s="187">
        <v>3.7</v>
      </c>
      <c r="R13" s="188">
        <v>28252709</v>
      </c>
      <c r="S13" s="187">
        <v>3.8</v>
      </c>
      <c r="T13" s="192">
        <v>431877</v>
      </c>
      <c r="U13" s="190">
        <v>1.5</v>
      </c>
      <c r="V13" s="193">
        <v>-0.6</v>
      </c>
      <c r="W13" s="194">
        <v>1.1</v>
      </c>
      <c r="X13" s="87"/>
    </row>
    <row r="14" spans="1:24" ht="46.5" customHeight="1">
      <c r="A14" s="516"/>
      <c r="C14" s="175" t="s">
        <v>79</v>
      </c>
      <c r="D14" s="186">
        <v>63953969</v>
      </c>
      <c r="E14" s="187">
        <v>11.6</v>
      </c>
      <c r="F14" s="188">
        <v>65928485</v>
      </c>
      <c r="G14" s="187">
        <v>12.3</v>
      </c>
      <c r="H14" s="189">
        <v>-1974516</v>
      </c>
      <c r="I14" s="190">
        <v>-3</v>
      </c>
      <c r="J14" s="186">
        <v>27251515</v>
      </c>
      <c r="K14" s="187">
        <v>12.8</v>
      </c>
      <c r="L14" s="188">
        <v>29325663</v>
      </c>
      <c r="M14" s="187">
        <v>13.9</v>
      </c>
      <c r="N14" s="189">
        <v>-2074148</v>
      </c>
      <c r="O14" s="191">
        <v>-7.1</v>
      </c>
      <c r="P14" s="186">
        <v>91205484</v>
      </c>
      <c r="Q14" s="187">
        <v>11.9</v>
      </c>
      <c r="R14" s="188">
        <v>95254148</v>
      </c>
      <c r="S14" s="187">
        <v>12.7</v>
      </c>
      <c r="T14" s="192">
        <v>-4048664</v>
      </c>
      <c r="U14" s="190">
        <v>-4.3</v>
      </c>
      <c r="V14" s="193">
        <v>4.7</v>
      </c>
      <c r="W14" s="194">
        <v>-4.8</v>
      </c>
      <c r="X14" s="87"/>
    </row>
    <row r="15" spans="1:24" ht="46.5" customHeight="1">
      <c r="A15" s="516"/>
      <c r="C15" s="175" t="s">
        <v>80</v>
      </c>
      <c r="D15" s="186">
        <v>1925712</v>
      </c>
      <c r="E15" s="187">
        <v>0.3</v>
      </c>
      <c r="F15" s="188">
        <v>1539876</v>
      </c>
      <c r="G15" s="187">
        <v>0.3</v>
      </c>
      <c r="H15" s="189">
        <v>385836</v>
      </c>
      <c r="I15" s="190">
        <v>25.1</v>
      </c>
      <c r="J15" s="186">
        <v>2533193</v>
      </c>
      <c r="K15" s="187">
        <v>1.2</v>
      </c>
      <c r="L15" s="188">
        <v>2532227</v>
      </c>
      <c r="M15" s="187">
        <v>1.2</v>
      </c>
      <c r="N15" s="189">
        <v>966</v>
      </c>
      <c r="O15" s="191">
        <v>0</v>
      </c>
      <c r="P15" s="186">
        <v>4458905</v>
      </c>
      <c r="Q15" s="187">
        <v>0.6</v>
      </c>
      <c r="R15" s="188">
        <v>4072103</v>
      </c>
      <c r="S15" s="187">
        <v>0.5</v>
      </c>
      <c r="T15" s="192">
        <v>386802</v>
      </c>
      <c r="U15" s="190">
        <v>9.5</v>
      </c>
      <c r="V15" s="193">
        <v>27.3</v>
      </c>
      <c r="W15" s="194">
        <v>-18.7</v>
      </c>
      <c r="X15" s="87"/>
    </row>
    <row r="16" spans="1:24" ht="46.5" customHeight="1">
      <c r="A16" s="516"/>
      <c r="C16" s="175" t="s">
        <v>81</v>
      </c>
      <c r="D16" s="186">
        <v>74679848</v>
      </c>
      <c r="E16" s="187">
        <v>13.5</v>
      </c>
      <c r="F16" s="188">
        <v>72310337</v>
      </c>
      <c r="G16" s="187">
        <v>13.5</v>
      </c>
      <c r="H16" s="189">
        <v>2369511</v>
      </c>
      <c r="I16" s="190">
        <v>3.3</v>
      </c>
      <c r="J16" s="186">
        <v>31178962</v>
      </c>
      <c r="K16" s="187">
        <v>14.6</v>
      </c>
      <c r="L16" s="188">
        <v>31212469</v>
      </c>
      <c r="M16" s="187">
        <v>14.8</v>
      </c>
      <c r="N16" s="189">
        <v>-33507</v>
      </c>
      <c r="O16" s="191">
        <v>-0.1</v>
      </c>
      <c r="P16" s="186">
        <v>105858810</v>
      </c>
      <c r="Q16" s="187">
        <v>13.8</v>
      </c>
      <c r="R16" s="188">
        <v>103522806</v>
      </c>
      <c r="S16" s="187">
        <v>13.8</v>
      </c>
      <c r="T16" s="192">
        <v>2336004</v>
      </c>
      <c r="U16" s="190">
        <v>2.3</v>
      </c>
      <c r="V16" s="193">
        <v>1.3</v>
      </c>
      <c r="W16" s="194">
        <v>-1.5</v>
      </c>
      <c r="X16" s="87"/>
    </row>
    <row r="17" spans="1:24" ht="46.5" customHeight="1">
      <c r="A17" s="516"/>
      <c r="C17" s="175" t="s">
        <v>82</v>
      </c>
      <c r="D17" s="186">
        <v>450247</v>
      </c>
      <c r="E17" s="187">
        <v>0.1</v>
      </c>
      <c r="F17" s="188">
        <v>302998</v>
      </c>
      <c r="G17" s="187">
        <v>0.1</v>
      </c>
      <c r="H17" s="189">
        <v>147249</v>
      </c>
      <c r="I17" s="190">
        <v>48.6</v>
      </c>
      <c r="J17" s="186">
        <v>359974</v>
      </c>
      <c r="K17" s="187">
        <v>0.2</v>
      </c>
      <c r="L17" s="188">
        <v>152530</v>
      </c>
      <c r="M17" s="187">
        <v>0.1</v>
      </c>
      <c r="N17" s="189">
        <v>207444</v>
      </c>
      <c r="O17" s="191">
        <v>136</v>
      </c>
      <c r="P17" s="186">
        <v>810221</v>
      </c>
      <c r="Q17" s="187">
        <v>0.1</v>
      </c>
      <c r="R17" s="188">
        <v>455528</v>
      </c>
      <c r="S17" s="187">
        <v>0.1</v>
      </c>
      <c r="T17" s="192">
        <v>354693</v>
      </c>
      <c r="U17" s="190">
        <v>77.9</v>
      </c>
      <c r="V17" s="193">
        <v>-33</v>
      </c>
      <c r="W17" s="194">
        <v>-52.9</v>
      </c>
      <c r="X17" s="87"/>
    </row>
    <row r="18" spans="1:24" ht="46.5" customHeight="1" thickBot="1">
      <c r="A18" s="516"/>
      <c r="C18" s="175" t="s">
        <v>72</v>
      </c>
      <c r="D18" s="197">
        <v>0</v>
      </c>
      <c r="E18" s="198">
        <v>0</v>
      </c>
      <c r="F18" s="199">
        <v>0</v>
      </c>
      <c r="G18" s="198">
        <v>0</v>
      </c>
      <c r="H18" s="200">
        <v>0</v>
      </c>
      <c r="I18" s="201">
        <v>0</v>
      </c>
      <c r="J18" s="197">
        <v>0</v>
      </c>
      <c r="K18" s="198">
        <v>0</v>
      </c>
      <c r="L18" s="199">
        <v>0</v>
      </c>
      <c r="M18" s="198">
        <v>0</v>
      </c>
      <c r="N18" s="200">
        <v>0</v>
      </c>
      <c r="O18" s="203">
        <v>0</v>
      </c>
      <c r="P18" s="197">
        <v>0</v>
      </c>
      <c r="Q18" s="198">
        <v>0</v>
      </c>
      <c r="R18" s="199">
        <v>0</v>
      </c>
      <c r="S18" s="198">
        <v>0</v>
      </c>
      <c r="T18" s="202">
        <v>0</v>
      </c>
      <c r="U18" s="203">
        <v>0</v>
      </c>
      <c r="V18" s="204" t="s">
        <v>459</v>
      </c>
      <c r="W18" s="205">
        <v>-65.9</v>
      </c>
      <c r="X18" s="87"/>
    </row>
    <row r="19" spans="1:24" ht="46.5" customHeight="1" thickBot="1">
      <c r="A19" s="516"/>
      <c r="C19" s="116" t="s">
        <v>73</v>
      </c>
      <c r="D19" s="206">
        <v>552214216</v>
      </c>
      <c r="E19" s="207">
        <v>100</v>
      </c>
      <c r="F19" s="208">
        <v>537513821</v>
      </c>
      <c r="G19" s="207">
        <v>100</v>
      </c>
      <c r="H19" s="209">
        <v>14700395</v>
      </c>
      <c r="I19" s="210">
        <v>2.7</v>
      </c>
      <c r="J19" s="206">
        <v>213145730</v>
      </c>
      <c r="K19" s="207">
        <v>100</v>
      </c>
      <c r="L19" s="208">
        <v>211022161</v>
      </c>
      <c r="M19" s="207">
        <v>100</v>
      </c>
      <c r="N19" s="209">
        <v>2123569</v>
      </c>
      <c r="O19" s="211">
        <v>1</v>
      </c>
      <c r="P19" s="206">
        <v>765359946</v>
      </c>
      <c r="Q19" s="207">
        <v>100</v>
      </c>
      <c r="R19" s="208">
        <v>748535982</v>
      </c>
      <c r="S19" s="207">
        <v>100</v>
      </c>
      <c r="T19" s="212">
        <v>16823964</v>
      </c>
      <c r="U19" s="210">
        <v>2.2</v>
      </c>
      <c r="V19" s="213">
        <v>-1.8</v>
      </c>
      <c r="W19" s="214">
        <v>-0.4</v>
      </c>
      <c r="X19" s="87"/>
    </row>
    <row r="20" spans="3:23" ht="46.5" customHeight="1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</sheetData>
  <mergeCells count="4">
    <mergeCell ref="C3:C4"/>
    <mergeCell ref="A1:A19"/>
    <mergeCell ref="B10:B11"/>
    <mergeCell ref="V3:W3"/>
  </mergeCells>
  <printOptions/>
  <pageMargins left="0" right="0.3937007874015748" top="0.7874015748031497" bottom="0" header="0" footer="0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="55" zoomScaleNormal="75" zoomScaleSheetLayoutView="55" workbookViewId="0" topLeftCell="A1">
      <selection activeCell="B13" sqref="B13"/>
    </sheetView>
  </sheetViews>
  <sheetFormatPr defaultColWidth="9.00390625" defaultRowHeight="13.5"/>
  <cols>
    <col min="1" max="1" width="9.00390625" style="23" customWidth="1"/>
    <col min="2" max="2" width="23.50390625" style="23" customWidth="1"/>
    <col min="3" max="3" width="15.625" style="23" customWidth="1"/>
    <col min="4" max="4" width="27.00390625" style="23" customWidth="1"/>
    <col min="5" max="7" width="14.50390625" style="23" customWidth="1"/>
    <col min="8" max="8" width="9.75390625" style="23" bestFit="1" customWidth="1"/>
    <col min="9" max="9" width="9.125" style="23" bestFit="1" customWidth="1"/>
    <col min="10" max="10" width="13.875" style="23" customWidth="1"/>
    <col min="11" max="11" width="3.75390625" style="23" customWidth="1"/>
    <col min="12" max="12" width="10.375" style="23" customWidth="1"/>
    <col min="13" max="13" width="12.75390625" style="23" customWidth="1"/>
    <col min="14" max="14" width="13.00390625" style="23" customWidth="1"/>
    <col min="15" max="16" width="12.25390625" style="23" customWidth="1"/>
    <col min="17" max="17" width="12.75390625" style="23" customWidth="1"/>
    <col min="18" max="19" width="10.75390625" style="23" hidden="1" customWidth="1"/>
    <col min="20" max="16384" width="10.75390625" style="23" customWidth="1"/>
  </cols>
  <sheetData>
    <row r="1" spans="1:13" s="21" customFormat="1" ht="18.75">
      <c r="A1" s="608"/>
      <c r="C1" s="22" t="s">
        <v>83</v>
      </c>
      <c r="D1" s="22"/>
      <c r="K1" s="22" t="s">
        <v>84</v>
      </c>
      <c r="L1" s="22"/>
      <c r="M1" s="22"/>
    </row>
    <row r="2" spans="1:17" ht="15" thickBot="1">
      <c r="A2" s="609"/>
      <c r="C2" s="24"/>
      <c r="D2" s="24"/>
      <c r="G2" s="24"/>
      <c r="H2" s="24"/>
      <c r="I2" s="50" t="s">
        <v>135</v>
      </c>
      <c r="Q2" s="25" t="s">
        <v>85</v>
      </c>
    </row>
    <row r="3" spans="1:18" ht="29.25" thickBot="1">
      <c r="A3" s="609"/>
      <c r="C3" s="594" t="s">
        <v>119</v>
      </c>
      <c r="D3" s="595"/>
      <c r="E3" s="45" t="s">
        <v>469</v>
      </c>
      <c r="F3" s="27" t="s">
        <v>470</v>
      </c>
      <c r="G3" s="28" t="s">
        <v>86</v>
      </c>
      <c r="H3" s="28" t="s">
        <v>25</v>
      </c>
      <c r="I3" s="95" t="s">
        <v>468</v>
      </c>
      <c r="J3" s="29"/>
      <c r="K3" s="610" t="s">
        <v>87</v>
      </c>
      <c r="L3" s="611"/>
      <c r="M3" s="611"/>
      <c r="N3" s="612"/>
      <c r="O3" s="26" t="s">
        <v>462</v>
      </c>
      <c r="P3" s="27" t="s">
        <v>461</v>
      </c>
      <c r="Q3" s="30" t="s">
        <v>124</v>
      </c>
      <c r="R3" s="29"/>
    </row>
    <row r="4" spans="1:18" ht="20.25" customHeight="1">
      <c r="A4" s="609"/>
      <c r="C4" s="31" t="s">
        <v>88</v>
      </c>
      <c r="D4" s="32"/>
      <c r="E4" s="51">
        <v>50287831</v>
      </c>
      <c r="F4" s="52">
        <v>54568187</v>
      </c>
      <c r="G4" s="53">
        <f>E4-F4</f>
        <v>-4280356</v>
      </c>
      <c r="H4" s="59">
        <f>ROUND(E4/F4*100,1)-100</f>
        <v>-7.799999999999997</v>
      </c>
      <c r="I4" s="60">
        <f>ROUND(E4/$E$40*100,1)</f>
        <v>5.7</v>
      </c>
      <c r="J4" s="29"/>
      <c r="K4" s="613" t="s">
        <v>89</v>
      </c>
      <c r="L4" s="614"/>
      <c r="M4" s="614"/>
      <c r="N4" s="615"/>
      <c r="O4" s="71"/>
      <c r="P4" s="72"/>
      <c r="Q4" s="78">
        <f>O5/P5*100-100</f>
        <v>-4.941901205947332</v>
      </c>
      <c r="R4" s="29"/>
    </row>
    <row r="5" spans="1:18" ht="20.25" customHeight="1">
      <c r="A5" s="609"/>
      <c r="C5" s="34" t="s">
        <v>136</v>
      </c>
      <c r="D5" s="35"/>
      <c r="E5" s="54">
        <v>22976793</v>
      </c>
      <c r="F5" s="55">
        <v>24660753</v>
      </c>
      <c r="G5" s="56">
        <f>E5-F5</f>
        <v>-1683960</v>
      </c>
      <c r="H5" s="61">
        <f aca="true" t="shared" si="0" ref="H5:H22">ROUND(E5/F5*100,1)-100</f>
        <v>-6.799999999999997</v>
      </c>
      <c r="I5" s="62">
        <f>ROUND(E5/$E$40*100,1)</f>
        <v>2.6</v>
      </c>
      <c r="J5" s="29"/>
      <c r="K5" s="616"/>
      <c r="L5" s="617"/>
      <c r="M5" s="617"/>
      <c r="N5" s="618"/>
      <c r="O5" s="71">
        <v>360763526</v>
      </c>
      <c r="P5" s="72">
        <v>379518979</v>
      </c>
      <c r="Q5" s="77">
        <f>O5-P5</f>
        <v>-18755453</v>
      </c>
      <c r="R5" s="29"/>
    </row>
    <row r="6" spans="1:18" ht="20.25" customHeight="1">
      <c r="A6" s="609"/>
      <c r="C6" s="34" t="s">
        <v>328</v>
      </c>
      <c r="D6" s="35"/>
      <c r="E6" s="54">
        <v>34639827</v>
      </c>
      <c r="F6" s="55">
        <v>37162754</v>
      </c>
      <c r="G6" s="56">
        <f>E6-F6</f>
        <v>-2522927</v>
      </c>
      <c r="H6" s="61">
        <f t="shared" si="0"/>
        <v>-6.799999999999997</v>
      </c>
      <c r="I6" s="62">
        <f>ROUND(E6/$E$40*100,1)</f>
        <v>3.9</v>
      </c>
      <c r="J6" s="29"/>
      <c r="K6" s="619" t="s">
        <v>90</v>
      </c>
      <c r="L6" s="620"/>
      <c r="M6" s="620"/>
      <c r="N6" s="621"/>
      <c r="O6" s="73"/>
      <c r="P6" s="74"/>
      <c r="Q6" s="79">
        <f>O7/P7*100-100</f>
        <v>-11.047237896269081</v>
      </c>
      <c r="R6" s="29"/>
    </row>
    <row r="7" spans="1:18" ht="20.25" customHeight="1">
      <c r="A7" s="609"/>
      <c r="C7" s="34" t="s">
        <v>329</v>
      </c>
      <c r="D7" s="35"/>
      <c r="E7" s="54">
        <v>6380300</v>
      </c>
      <c r="F7" s="55">
        <v>6870143</v>
      </c>
      <c r="G7" s="56">
        <f>E7-F7</f>
        <v>-489843</v>
      </c>
      <c r="H7" s="61">
        <f t="shared" si="0"/>
        <v>-7.099999999999994</v>
      </c>
      <c r="I7" s="62">
        <f>ROUND(E7/$E$40*100,1)</f>
        <v>0.7</v>
      </c>
      <c r="J7" s="29"/>
      <c r="K7" s="622" t="s">
        <v>123</v>
      </c>
      <c r="L7" s="623"/>
      <c r="M7" s="623"/>
      <c r="N7" s="624"/>
      <c r="O7" s="33">
        <v>127115599</v>
      </c>
      <c r="P7" s="72">
        <v>142902363</v>
      </c>
      <c r="Q7" s="77">
        <f>O7-P7</f>
        <v>-15786764</v>
      </c>
      <c r="R7" s="29"/>
    </row>
    <row r="8" spans="1:18" ht="20.25" customHeight="1">
      <c r="A8" s="609"/>
      <c r="C8" s="34" t="s">
        <v>353</v>
      </c>
      <c r="D8" s="35"/>
      <c r="E8" s="54">
        <v>106761357</v>
      </c>
      <c r="F8" s="55">
        <v>109476943</v>
      </c>
      <c r="G8" s="56">
        <f>E8-F8</f>
        <v>-2715586</v>
      </c>
      <c r="H8" s="61">
        <f t="shared" si="0"/>
        <v>-2.5</v>
      </c>
      <c r="I8" s="62">
        <f>ROUND(E8/$E$40*100,1)</f>
        <v>12.1</v>
      </c>
      <c r="J8" s="29"/>
      <c r="K8" s="43"/>
      <c r="L8" s="617" t="s">
        <v>91</v>
      </c>
      <c r="M8" s="617"/>
      <c r="N8" s="618"/>
      <c r="O8" s="73"/>
      <c r="P8" s="74"/>
      <c r="Q8" s="79">
        <f>O9/P9*100-100</f>
        <v>-13.474387730173632</v>
      </c>
      <c r="R8" s="29"/>
    </row>
    <row r="9" spans="1:18" ht="20.25" customHeight="1">
      <c r="A9" s="609"/>
      <c r="C9" s="34" t="s">
        <v>330</v>
      </c>
      <c r="D9" s="35"/>
      <c r="E9" s="54">
        <v>74011814</v>
      </c>
      <c r="F9" s="55">
        <v>80453787</v>
      </c>
      <c r="G9" s="56">
        <f aca="true" t="shared" si="1" ref="G9:G26">E9-F9</f>
        <v>-6441973</v>
      </c>
      <c r="H9" s="61">
        <f t="shared" si="0"/>
        <v>-8</v>
      </c>
      <c r="I9" s="62">
        <f>ROUND(E9/$E$40*100,1)</f>
        <v>8.4</v>
      </c>
      <c r="J9" s="29"/>
      <c r="K9" s="44"/>
      <c r="L9" s="617"/>
      <c r="M9" s="617"/>
      <c r="N9" s="618"/>
      <c r="O9" s="71">
        <v>15714966</v>
      </c>
      <c r="P9" s="72">
        <v>18162213</v>
      </c>
      <c r="Q9" s="77">
        <f>O9-P9</f>
        <v>-2447247</v>
      </c>
      <c r="R9" s="322" t="s">
        <v>463</v>
      </c>
    </row>
    <row r="10" spans="1:18" ht="20.25" customHeight="1">
      <c r="A10" s="609"/>
      <c r="C10" s="34" t="s">
        <v>331</v>
      </c>
      <c r="D10" s="35"/>
      <c r="E10" s="54">
        <v>1300031</v>
      </c>
      <c r="F10" s="55">
        <v>1325740</v>
      </c>
      <c r="G10" s="56">
        <f t="shared" si="1"/>
        <v>-25709</v>
      </c>
      <c r="H10" s="61">
        <f t="shared" si="0"/>
        <v>-1.9000000000000057</v>
      </c>
      <c r="I10" s="62">
        <f aca="true" t="shared" si="2" ref="I10:I19">ROUND(E10/$E$40*100,1)</f>
        <v>0.1</v>
      </c>
      <c r="J10" s="29"/>
      <c r="K10" s="44"/>
      <c r="L10" s="617" t="s">
        <v>92</v>
      </c>
      <c r="M10" s="617"/>
      <c r="N10" s="618"/>
      <c r="O10" s="73"/>
      <c r="P10" s="74"/>
      <c r="Q10" s="79">
        <f>O11/P11*100-100</f>
        <v>-10.506767911427275</v>
      </c>
      <c r="R10" s="29"/>
    </row>
    <row r="11" spans="1:18" ht="20.25" customHeight="1">
      <c r="A11" s="609"/>
      <c r="C11" s="34" t="s">
        <v>332</v>
      </c>
      <c r="D11" s="35"/>
      <c r="E11" s="54">
        <v>24242720</v>
      </c>
      <c r="F11" s="55">
        <v>24999016</v>
      </c>
      <c r="G11" s="56">
        <f t="shared" si="1"/>
        <v>-756296</v>
      </c>
      <c r="H11" s="61">
        <f t="shared" si="0"/>
        <v>-3</v>
      </c>
      <c r="I11" s="62">
        <f t="shared" si="2"/>
        <v>2.7</v>
      </c>
      <c r="J11" s="29"/>
      <c r="K11" s="44" t="s">
        <v>130</v>
      </c>
      <c r="L11" s="617"/>
      <c r="M11" s="617"/>
      <c r="N11" s="618"/>
      <c r="O11" s="71">
        <v>18076005</v>
      </c>
      <c r="P11" s="72">
        <v>20198181</v>
      </c>
      <c r="Q11" s="77">
        <f>O11-P11</f>
        <v>-2122176</v>
      </c>
      <c r="R11" s="323" t="s">
        <v>464</v>
      </c>
    </row>
    <row r="12" spans="1:18" ht="20.25" customHeight="1">
      <c r="A12" s="609"/>
      <c r="C12" s="34" t="s">
        <v>333</v>
      </c>
      <c r="D12" s="35"/>
      <c r="E12" s="54">
        <v>6905992</v>
      </c>
      <c r="F12" s="55">
        <v>2566400</v>
      </c>
      <c r="G12" s="56">
        <f t="shared" si="1"/>
        <v>4339592</v>
      </c>
      <c r="H12" s="61">
        <f t="shared" si="0"/>
        <v>169.10000000000002</v>
      </c>
      <c r="I12" s="62">
        <f>ROUND(E12/$E$40*100,1)</f>
        <v>0.8</v>
      </c>
      <c r="J12" s="29"/>
      <c r="K12" s="44"/>
      <c r="L12" s="617" t="s">
        <v>93</v>
      </c>
      <c r="M12" s="617"/>
      <c r="N12" s="618"/>
      <c r="O12" s="73"/>
      <c r="P12" s="74"/>
      <c r="Q12" s="79">
        <f>O13/P13*100-100</f>
        <v>-68.25280493067412</v>
      </c>
      <c r="R12" s="29"/>
    </row>
    <row r="13" spans="1:19" ht="20.25" customHeight="1">
      <c r="A13" s="609"/>
      <c r="C13" s="34" t="s">
        <v>354</v>
      </c>
      <c r="D13" s="35"/>
      <c r="E13" s="54">
        <v>300800</v>
      </c>
      <c r="F13" s="55">
        <v>132000</v>
      </c>
      <c r="G13" s="56">
        <f t="shared" si="1"/>
        <v>168800</v>
      </c>
      <c r="H13" s="61">
        <f t="shared" si="0"/>
        <v>127.9</v>
      </c>
      <c r="I13" s="62">
        <f t="shared" si="2"/>
        <v>0</v>
      </c>
      <c r="J13" s="29"/>
      <c r="K13" s="44"/>
      <c r="L13" s="617"/>
      <c r="M13" s="617"/>
      <c r="N13" s="618"/>
      <c r="O13" s="71">
        <v>270735</v>
      </c>
      <c r="P13" s="72">
        <v>852784</v>
      </c>
      <c r="Q13" s="77">
        <f>O13-P13</f>
        <v>-582049</v>
      </c>
      <c r="R13" s="323" t="s">
        <v>465</v>
      </c>
      <c r="S13" s="23" t="s">
        <v>361</v>
      </c>
    </row>
    <row r="14" spans="1:18" ht="20.25" customHeight="1">
      <c r="A14" s="609"/>
      <c r="C14" s="34" t="s">
        <v>334</v>
      </c>
      <c r="D14" s="35"/>
      <c r="E14" s="54">
        <v>270365905</v>
      </c>
      <c r="F14" s="55">
        <v>283131719</v>
      </c>
      <c r="G14" s="56">
        <f t="shared" si="1"/>
        <v>-12765814</v>
      </c>
      <c r="H14" s="61">
        <f t="shared" si="0"/>
        <v>-4.5</v>
      </c>
      <c r="I14" s="62">
        <f t="shared" si="2"/>
        <v>30.5</v>
      </c>
      <c r="J14" s="29"/>
      <c r="K14" s="44"/>
      <c r="L14" s="596" t="s">
        <v>94</v>
      </c>
      <c r="M14" s="597"/>
      <c r="N14" s="598"/>
      <c r="O14" s="73"/>
      <c r="P14" s="74"/>
      <c r="Q14" s="79">
        <f>O15/P15*100-100</f>
        <v>1.0440611552871246</v>
      </c>
      <c r="R14" s="29"/>
    </row>
    <row r="15" spans="1:18" ht="20.25" customHeight="1">
      <c r="A15" s="609"/>
      <c r="C15" s="34" t="s">
        <v>335</v>
      </c>
      <c r="D15" s="35"/>
      <c r="E15" s="54">
        <v>23569957</v>
      </c>
      <c r="F15" s="55">
        <v>33042283</v>
      </c>
      <c r="G15" s="56">
        <f t="shared" si="1"/>
        <v>-9472326</v>
      </c>
      <c r="H15" s="61">
        <f t="shared" si="0"/>
        <v>-28.700000000000003</v>
      </c>
      <c r="I15" s="62">
        <f t="shared" si="2"/>
        <v>2.7</v>
      </c>
      <c r="J15" s="29"/>
      <c r="K15" s="44" t="s">
        <v>131</v>
      </c>
      <c r="L15" s="599"/>
      <c r="M15" s="600"/>
      <c r="N15" s="601"/>
      <c r="O15" s="71">
        <v>3086212</v>
      </c>
      <c r="P15" s="72">
        <v>3054323</v>
      </c>
      <c r="Q15" s="77">
        <f>O15-P15</f>
        <v>31889</v>
      </c>
      <c r="R15" s="323" t="s">
        <v>466</v>
      </c>
    </row>
    <row r="16" spans="1:18" ht="20.25" customHeight="1">
      <c r="A16" s="609"/>
      <c r="C16" s="34" t="s">
        <v>336</v>
      </c>
      <c r="D16" s="35"/>
      <c r="E16" s="54">
        <v>22264365</v>
      </c>
      <c r="F16" s="55">
        <v>11233100</v>
      </c>
      <c r="G16" s="56">
        <f t="shared" si="1"/>
        <v>11031265</v>
      </c>
      <c r="H16" s="61">
        <f t="shared" si="0"/>
        <v>98.19999999999999</v>
      </c>
      <c r="I16" s="62">
        <f t="shared" si="2"/>
        <v>2.5</v>
      </c>
      <c r="J16" s="29"/>
      <c r="K16" s="44"/>
      <c r="L16" s="617" t="s">
        <v>95</v>
      </c>
      <c r="M16" s="617"/>
      <c r="N16" s="618"/>
      <c r="O16" s="73"/>
      <c r="P16" s="74"/>
      <c r="Q16" s="398">
        <f>O17/P17*100-100</f>
        <v>1496.938412246351</v>
      </c>
      <c r="R16" s="29"/>
    </row>
    <row r="17" spans="1:18" ht="20.25" customHeight="1">
      <c r="A17" s="609"/>
      <c r="C17" s="34" t="s">
        <v>337</v>
      </c>
      <c r="D17" s="35"/>
      <c r="E17" s="54">
        <v>9732467</v>
      </c>
      <c r="F17" s="55">
        <v>9344646</v>
      </c>
      <c r="G17" s="56">
        <f t="shared" si="1"/>
        <v>387821</v>
      </c>
      <c r="H17" s="61">
        <f t="shared" si="0"/>
        <v>4.200000000000003</v>
      </c>
      <c r="I17" s="62">
        <f t="shared" si="2"/>
        <v>1.1</v>
      </c>
      <c r="J17" s="29"/>
      <c r="K17" s="44"/>
      <c r="L17" s="617"/>
      <c r="M17" s="617"/>
      <c r="N17" s="618"/>
      <c r="O17" s="71">
        <v>134574</v>
      </c>
      <c r="P17" s="72">
        <v>8427</v>
      </c>
      <c r="Q17" s="77">
        <f>O17-P17</f>
        <v>126147</v>
      </c>
      <c r="R17" s="323" t="s">
        <v>467</v>
      </c>
    </row>
    <row r="18" spans="1:18" ht="20.25" customHeight="1">
      <c r="A18" s="609"/>
      <c r="C18" s="34" t="s">
        <v>338</v>
      </c>
      <c r="D18" s="35"/>
      <c r="E18" s="54">
        <v>5824354</v>
      </c>
      <c r="F18" s="55">
        <v>6004370</v>
      </c>
      <c r="G18" s="56">
        <f t="shared" si="1"/>
        <v>-180016</v>
      </c>
      <c r="H18" s="61">
        <f t="shared" si="0"/>
        <v>-3</v>
      </c>
      <c r="I18" s="62">
        <f t="shared" si="2"/>
        <v>0.7</v>
      </c>
      <c r="J18" s="29"/>
      <c r="K18" s="44"/>
      <c r="L18" s="596" t="s">
        <v>96</v>
      </c>
      <c r="M18" s="597"/>
      <c r="N18" s="598"/>
      <c r="O18" s="75"/>
      <c r="P18" s="74"/>
      <c r="Q18" s="79">
        <f>O19/P19*100-100</f>
        <v>-10.726135731629569</v>
      </c>
      <c r="R18" s="29"/>
    </row>
    <row r="19" spans="1:18" ht="20.25" customHeight="1" thickBot="1">
      <c r="A19" s="609"/>
      <c r="C19" s="34" t="s">
        <v>339</v>
      </c>
      <c r="D19" s="35"/>
      <c r="E19" s="54">
        <v>41550755</v>
      </c>
      <c r="F19" s="55">
        <v>44766797</v>
      </c>
      <c r="G19" s="56">
        <f t="shared" si="1"/>
        <v>-3216042</v>
      </c>
      <c r="H19" s="61">
        <f t="shared" si="0"/>
        <v>-7.200000000000003</v>
      </c>
      <c r="I19" s="62">
        <f t="shared" si="2"/>
        <v>4.7</v>
      </c>
      <c r="J19" s="29"/>
      <c r="K19" s="44"/>
      <c r="L19" s="599"/>
      <c r="M19" s="600"/>
      <c r="N19" s="601"/>
      <c r="O19" s="76">
        <f>O7-SUM(O9:O17)</f>
        <v>89833107</v>
      </c>
      <c r="P19" s="72">
        <v>100626435</v>
      </c>
      <c r="Q19" s="77">
        <f>O19-P19</f>
        <v>-10793328</v>
      </c>
      <c r="R19" s="29"/>
    </row>
    <row r="20" spans="1:18" ht="20.25" customHeight="1">
      <c r="A20" s="609"/>
      <c r="C20" s="34" t="s">
        <v>340</v>
      </c>
      <c r="D20" s="35"/>
      <c r="E20" s="54">
        <v>619793</v>
      </c>
      <c r="F20" s="55">
        <v>785300</v>
      </c>
      <c r="G20" s="56">
        <f t="shared" si="1"/>
        <v>-165507</v>
      </c>
      <c r="H20" s="61">
        <f t="shared" si="0"/>
        <v>-21.099999999999994</v>
      </c>
      <c r="I20" s="62">
        <f>(E20/$E$40*100)</f>
        <v>0.07000475043731663</v>
      </c>
      <c r="J20" s="29"/>
      <c r="K20" s="67"/>
      <c r="L20" s="68"/>
      <c r="M20" s="68"/>
      <c r="N20" s="68"/>
      <c r="O20" s="68"/>
      <c r="P20" s="68"/>
      <c r="Q20" s="68"/>
      <c r="R20" s="29"/>
    </row>
    <row r="21" spans="1:18" ht="20.25" customHeight="1">
      <c r="A21" s="609"/>
      <c r="C21" s="34" t="s">
        <v>341</v>
      </c>
      <c r="D21" s="35"/>
      <c r="E21" s="54">
        <v>2213600</v>
      </c>
      <c r="F21" s="55">
        <v>1320600</v>
      </c>
      <c r="G21" s="56">
        <f t="shared" si="1"/>
        <v>893000</v>
      </c>
      <c r="H21" s="61">
        <f t="shared" si="0"/>
        <v>67.6</v>
      </c>
      <c r="I21" s="62">
        <f>ROUND(E21/$E$40*100,1)</f>
        <v>0.3</v>
      </c>
      <c r="J21" s="29"/>
      <c r="K21" s="69"/>
      <c r="L21" s="29"/>
      <c r="M21" s="29"/>
      <c r="N21" s="29"/>
      <c r="O21" s="29"/>
      <c r="P21" s="29"/>
      <c r="Q21" s="29"/>
      <c r="R21" s="29"/>
    </row>
    <row r="22" spans="1:18" ht="20.25" customHeight="1">
      <c r="A22" s="609"/>
      <c r="C22" s="34" t="s">
        <v>342</v>
      </c>
      <c r="D22" s="35"/>
      <c r="E22" s="54">
        <v>6250579</v>
      </c>
      <c r="F22" s="55">
        <v>7410397</v>
      </c>
      <c r="G22" s="56">
        <f t="shared" si="1"/>
        <v>-1159818</v>
      </c>
      <c r="H22" s="61">
        <f t="shared" si="0"/>
        <v>-15.700000000000003</v>
      </c>
      <c r="I22" s="62">
        <f>(E22/$E$40*100)</f>
        <v>0.7059941351124202</v>
      </c>
      <c r="J22" s="29"/>
      <c r="K22" s="69"/>
      <c r="L22" s="29"/>
      <c r="M22" s="29"/>
      <c r="N22" s="29"/>
      <c r="O22" s="29"/>
      <c r="P22" s="71"/>
      <c r="Q22" s="29"/>
      <c r="R22" s="29"/>
    </row>
    <row r="23" spans="1:18" ht="20.25" customHeight="1">
      <c r="A23" s="609"/>
      <c r="C23" s="34" t="s">
        <v>125</v>
      </c>
      <c r="D23" s="35"/>
      <c r="E23" s="54">
        <v>0</v>
      </c>
      <c r="F23" s="55">
        <v>0</v>
      </c>
      <c r="G23" s="56">
        <f t="shared" si="1"/>
        <v>0</v>
      </c>
      <c r="H23" s="63" t="s">
        <v>360</v>
      </c>
      <c r="I23" s="62">
        <f>ROUND(E23/$E$40*100,1)</f>
        <v>0</v>
      </c>
      <c r="J23" s="29"/>
      <c r="K23" s="69"/>
      <c r="L23" s="66"/>
      <c r="M23" s="66"/>
      <c r="N23" s="66"/>
      <c r="O23" s="33"/>
      <c r="P23" s="33"/>
      <c r="Q23" s="70"/>
      <c r="R23" s="29"/>
    </row>
    <row r="24" spans="1:18" ht="20.25" customHeight="1">
      <c r="A24" s="609"/>
      <c r="B24" s="521">
        <v>23</v>
      </c>
      <c r="C24" s="34" t="s">
        <v>471</v>
      </c>
      <c r="D24" s="35"/>
      <c r="E24" s="54">
        <v>0</v>
      </c>
      <c r="F24" s="55">
        <v>0</v>
      </c>
      <c r="G24" s="56">
        <f t="shared" si="1"/>
        <v>0</v>
      </c>
      <c r="H24" s="63" t="s">
        <v>360</v>
      </c>
      <c r="I24" s="62">
        <f>ROUND(E24/$E$40*100,1)</f>
        <v>0</v>
      </c>
      <c r="J24" s="29"/>
      <c r="K24" s="69"/>
      <c r="L24" s="66"/>
      <c r="M24" s="66"/>
      <c r="N24" s="66"/>
      <c r="O24" s="29"/>
      <c r="P24" s="29"/>
      <c r="Q24" s="29"/>
      <c r="R24" s="29"/>
    </row>
    <row r="25" spans="1:17" ht="20.25" customHeight="1">
      <c r="A25" s="609"/>
      <c r="B25" s="521"/>
      <c r="C25" s="34" t="s">
        <v>472</v>
      </c>
      <c r="D25" s="35"/>
      <c r="E25" s="54">
        <v>2987000</v>
      </c>
      <c r="F25" s="55">
        <v>158300</v>
      </c>
      <c r="G25" s="56">
        <f t="shared" si="1"/>
        <v>2828700</v>
      </c>
      <c r="H25" s="61">
        <f>ROUND(E25/F25*100,1)-100</f>
        <v>1786.9</v>
      </c>
      <c r="I25" s="62">
        <f>ROUND(E25/$E$40*100,1)</f>
        <v>0.3</v>
      </c>
      <c r="J25" s="29"/>
      <c r="K25" s="29"/>
      <c r="L25" s="29"/>
      <c r="M25" s="29"/>
      <c r="N25" s="29"/>
      <c r="O25" s="29"/>
      <c r="P25" s="29"/>
      <c r="Q25" s="29"/>
    </row>
    <row r="26" spans="1:17" ht="20.25" customHeight="1">
      <c r="A26" s="609"/>
      <c r="B26" s="521"/>
      <c r="C26" s="34" t="s">
        <v>343</v>
      </c>
      <c r="D26" s="35"/>
      <c r="E26" s="54">
        <v>1122073</v>
      </c>
      <c r="F26" s="55">
        <v>1177207</v>
      </c>
      <c r="G26" s="56">
        <f t="shared" si="1"/>
        <v>-55134</v>
      </c>
      <c r="H26" s="61">
        <f>ROUND(E26/F26*100,1)-100</f>
        <v>-4.700000000000003</v>
      </c>
      <c r="I26" s="62">
        <f>ROUND(E26/$E$40*100,1)</f>
        <v>0.1</v>
      </c>
      <c r="J26" s="29"/>
      <c r="K26" s="29"/>
      <c r="L26" s="29"/>
      <c r="M26" s="29"/>
      <c r="N26" s="29"/>
      <c r="O26" s="29"/>
      <c r="P26" s="29"/>
      <c r="Q26" s="29"/>
    </row>
    <row r="27" spans="1:10" ht="20.25" customHeight="1">
      <c r="A27" s="609"/>
      <c r="B27" s="36"/>
      <c r="C27" s="602" t="s">
        <v>344</v>
      </c>
      <c r="D27" s="603"/>
      <c r="E27" s="54">
        <v>0</v>
      </c>
      <c r="F27" s="55">
        <v>0</v>
      </c>
      <c r="G27" s="56">
        <f aca="true" t="shared" si="3" ref="G27:G39">E27-F27</f>
        <v>0</v>
      </c>
      <c r="H27" s="63" t="s">
        <v>360</v>
      </c>
      <c r="I27" s="62">
        <f>ROUND(E27/$E$40*100,1)</f>
        <v>0</v>
      </c>
      <c r="J27" s="29"/>
    </row>
    <row r="28" spans="1:10" ht="20.25" customHeight="1">
      <c r="A28" s="609"/>
      <c r="C28" s="34" t="s">
        <v>126</v>
      </c>
      <c r="D28" s="35"/>
      <c r="E28" s="54">
        <v>0</v>
      </c>
      <c r="F28" s="55">
        <v>0</v>
      </c>
      <c r="G28" s="56">
        <f t="shared" si="3"/>
        <v>0</v>
      </c>
      <c r="H28" s="63" t="s">
        <v>360</v>
      </c>
      <c r="I28" s="62">
        <f>(E28/$E$40*100)</f>
        <v>0</v>
      </c>
      <c r="J28" s="29"/>
    </row>
    <row r="29" spans="1:10" ht="20.25" customHeight="1">
      <c r="A29" s="609"/>
      <c r="C29" s="34" t="s">
        <v>345</v>
      </c>
      <c r="D29" s="35"/>
      <c r="E29" s="54">
        <v>32616546</v>
      </c>
      <c r="F29" s="55">
        <v>33718913</v>
      </c>
      <c r="G29" s="56">
        <f t="shared" si="3"/>
        <v>-1102367</v>
      </c>
      <c r="H29" s="61">
        <f>ROUND(E29/F29*100,1)-100</f>
        <v>-3.299999999999997</v>
      </c>
      <c r="I29" s="62">
        <f aca="true" t="shared" si="4" ref="I29:I34">ROUND(E29/$E$40*100,1)</f>
        <v>3.7</v>
      </c>
      <c r="J29" s="29"/>
    </row>
    <row r="30" spans="1:10" ht="20.25" customHeight="1">
      <c r="A30" s="609"/>
      <c r="C30" s="604" t="s">
        <v>473</v>
      </c>
      <c r="D30" s="605"/>
      <c r="E30" s="54">
        <v>1537132</v>
      </c>
      <c r="F30" s="55">
        <v>1617519</v>
      </c>
      <c r="G30" s="56">
        <f t="shared" si="3"/>
        <v>-80387</v>
      </c>
      <c r="H30" s="61">
        <f>ROUND(E30/F30*100,1)-100</f>
        <v>-5</v>
      </c>
      <c r="I30" s="62">
        <f t="shared" si="4"/>
        <v>0.2</v>
      </c>
      <c r="J30" s="29"/>
    </row>
    <row r="31" spans="1:10" ht="20.25" customHeight="1">
      <c r="A31" s="609"/>
      <c r="C31" s="34" t="s">
        <v>346</v>
      </c>
      <c r="D31" s="35"/>
      <c r="E31" s="54">
        <v>2742146</v>
      </c>
      <c r="F31" s="55">
        <v>3434704</v>
      </c>
      <c r="G31" s="56">
        <f t="shared" si="3"/>
        <v>-692558</v>
      </c>
      <c r="H31" s="61">
        <f>ROUND(E31/F31*100,1)-100</f>
        <v>-20.200000000000003</v>
      </c>
      <c r="I31" s="62">
        <f t="shared" si="4"/>
        <v>0.3</v>
      </c>
      <c r="J31" s="29"/>
    </row>
    <row r="32" spans="1:10" ht="20.25" customHeight="1">
      <c r="A32" s="609"/>
      <c r="C32" s="34" t="s">
        <v>347</v>
      </c>
      <c r="D32" s="35"/>
      <c r="E32" s="54">
        <v>0</v>
      </c>
      <c r="F32" s="55">
        <v>0</v>
      </c>
      <c r="G32" s="56">
        <f t="shared" si="3"/>
        <v>0</v>
      </c>
      <c r="H32" s="63" t="s">
        <v>360</v>
      </c>
      <c r="I32" s="62">
        <f t="shared" si="4"/>
        <v>0</v>
      </c>
      <c r="J32" s="29"/>
    </row>
    <row r="33" spans="1:10" ht="20.25" customHeight="1">
      <c r="A33" s="609"/>
      <c r="C33" s="34" t="s">
        <v>348</v>
      </c>
      <c r="D33" s="35"/>
      <c r="E33" s="54">
        <v>48442743</v>
      </c>
      <c r="F33" s="55">
        <v>52825689</v>
      </c>
      <c r="G33" s="56">
        <f t="shared" si="3"/>
        <v>-4382946</v>
      </c>
      <c r="H33" s="61">
        <f aca="true" t="shared" si="5" ref="H33:H40">ROUND(E33/F33*100,1)-100</f>
        <v>-8.299999999999997</v>
      </c>
      <c r="I33" s="62">
        <f t="shared" si="4"/>
        <v>5.5</v>
      </c>
      <c r="J33" s="29"/>
    </row>
    <row r="34" spans="1:10" ht="20.25" customHeight="1">
      <c r="A34" s="609"/>
      <c r="C34" s="34" t="s">
        <v>349</v>
      </c>
      <c r="D34" s="35"/>
      <c r="E34" s="54">
        <v>6223495</v>
      </c>
      <c r="F34" s="55">
        <v>6812678</v>
      </c>
      <c r="G34" s="56">
        <f t="shared" si="3"/>
        <v>-589183</v>
      </c>
      <c r="H34" s="61">
        <f t="shared" si="5"/>
        <v>-8.599999999999994</v>
      </c>
      <c r="I34" s="62">
        <f t="shared" si="4"/>
        <v>0.7</v>
      </c>
      <c r="J34" s="29"/>
    </row>
    <row r="35" spans="1:10" ht="20.25" customHeight="1">
      <c r="A35" s="609"/>
      <c r="C35" s="34" t="s">
        <v>127</v>
      </c>
      <c r="D35" s="35"/>
      <c r="E35" s="80">
        <v>181047927</v>
      </c>
      <c r="F35" s="57">
        <v>165230104</v>
      </c>
      <c r="G35" s="56">
        <f t="shared" si="3"/>
        <v>15817823</v>
      </c>
      <c r="H35" s="61">
        <f t="shared" si="5"/>
        <v>9.599999999999994</v>
      </c>
      <c r="I35" s="62">
        <f aca="true" t="shared" si="6" ref="I35:I40">ROUND(E35/$E$40*100,1)</f>
        <v>20.4</v>
      </c>
      <c r="J35" s="37">
        <f>SUM(I4:I35)-I5-I7</f>
        <v>108.17599888554973</v>
      </c>
    </row>
    <row r="36" spans="1:10" ht="20.25" customHeight="1">
      <c r="A36" s="609"/>
      <c r="C36" s="268" t="s">
        <v>350</v>
      </c>
      <c r="D36" s="269"/>
      <c r="E36" s="54">
        <v>922524</v>
      </c>
      <c r="F36" s="55">
        <v>1186570</v>
      </c>
      <c r="G36" s="56">
        <f t="shared" si="3"/>
        <v>-264046</v>
      </c>
      <c r="H36" s="61">
        <f t="shared" si="5"/>
        <v>-22.299999999999997</v>
      </c>
      <c r="I36" s="62">
        <f t="shared" si="6"/>
        <v>0.1</v>
      </c>
      <c r="J36" s="37"/>
    </row>
    <row r="37" spans="1:10" ht="20.25" customHeight="1">
      <c r="A37" s="609"/>
      <c r="C37" s="606" t="s">
        <v>474</v>
      </c>
      <c r="D37" s="607"/>
      <c r="E37" s="54">
        <v>856387</v>
      </c>
      <c r="F37" s="55">
        <v>934661</v>
      </c>
      <c r="G37" s="56">
        <f t="shared" si="3"/>
        <v>-78274</v>
      </c>
      <c r="H37" s="61">
        <f t="shared" si="5"/>
        <v>-8.400000000000006</v>
      </c>
      <c r="I37" s="62">
        <f t="shared" si="6"/>
        <v>0.1</v>
      </c>
      <c r="J37" s="37"/>
    </row>
    <row r="38" spans="1:10" ht="20.25" customHeight="1">
      <c r="A38" s="609"/>
      <c r="C38" s="270" t="s">
        <v>351</v>
      </c>
      <c r="D38" s="271"/>
      <c r="E38" s="80">
        <v>22633001</v>
      </c>
      <c r="F38" s="57">
        <v>21302425</v>
      </c>
      <c r="G38" s="56">
        <f t="shared" si="3"/>
        <v>1330576</v>
      </c>
      <c r="H38" s="61">
        <f t="shared" si="5"/>
        <v>6.200000000000003</v>
      </c>
      <c r="I38" s="62">
        <f t="shared" si="6"/>
        <v>2.6</v>
      </c>
      <c r="J38" s="37"/>
    </row>
    <row r="39" spans="1:10" ht="20.25" customHeight="1" thickBot="1">
      <c r="A39" s="609"/>
      <c r="C39" s="270" t="s">
        <v>352</v>
      </c>
      <c r="D39" s="271"/>
      <c r="E39" s="80">
        <v>59333213</v>
      </c>
      <c r="F39" s="57">
        <v>61351778</v>
      </c>
      <c r="G39" s="56">
        <f t="shared" si="3"/>
        <v>-2018565</v>
      </c>
      <c r="H39" s="61">
        <f t="shared" si="5"/>
        <v>-3.299999999999997</v>
      </c>
      <c r="I39" s="62">
        <f t="shared" si="6"/>
        <v>6.7</v>
      </c>
      <c r="J39" s="37"/>
    </row>
    <row r="40" spans="1:13" ht="20.25" customHeight="1" thickBot="1">
      <c r="A40" s="609"/>
      <c r="C40" s="594" t="s">
        <v>129</v>
      </c>
      <c r="D40" s="595"/>
      <c r="E40" s="58">
        <f>SUM(E4:E39)-E9-E10-E11-E12-E13-E15-E16-E17-E5</f>
        <v>885358488</v>
      </c>
      <c r="F40" s="281">
        <f>SUM(F4:F39)-F5-SUM(F9:F13)-SUM(F15:F17)</f>
        <v>901247758</v>
      </c>
      <c r="G40" s="280">
        <f>SUM(G4:G39)-G9-G10-G11-G12-G13-G15-G16-G17-G5</f>
        <v>-15889270</v>
      </c>
      <c r="H40" s="64">
        <f t="shared" si="5"/>
        <v>-1.7999999999999972</v>
      </c>
      <c r="I40" s="65">
        <f t="shared" si="6"/>
        <v>100</v>
      </c>
      <c r="J40" s="29"/>
      <c r="M40" s="276"/>
    </row>
    <row r="41" spans="1:9" ht="14.25">
      <c r="A41" s="609"/>
      <c r="C41" s="29"/>
      <c r="D41" s="29"/>
      <c r="E41" s="29"/>
      <c r="F41" s="29"/>
      <c r="G41" s="29"/>
      <c r="H41" s="29"/>
      <c r="I41" s="29"/>
    </row>
    <row r="42" spans="1:17" s="21" customFormat="1" ht="24" customHeight="1" thickBot="1">
      <c r="A42" s="609"/>
      <c r="C42" s="22" t="s">
        <v>97</v>
      </c>
      <c r="P42" s="38"/>
      <c r="Q42" s="25" t="s">
        <v>152</v>
      </c>
    </row>
    <row r="43" spans="1:18" ht="14.25">
      <c r="A43" s="609"/>
      <c r="C43" s="586" t="s">
        <v>98</v>
      </c>
      <c r="D43" s="591" t="s">
        <v>477</v>
      </c>
      <c r="E43" s="538" t="s">
        <v>478</v>
      </c>
      <c r="F43" s="538" t="s">
        <v>120</v>
      </c>
      <c r="G43" s="538" t="s">
        <v>479</v>
      </c>
      <c r="H43" s="541" t="s">
        <v>137</v>
      </c>
      <c r="I43" s="542"/>
      <c r="J43" s="547" t="s">
        <v>29</v>
      </c>
      <c r="K43" s="541" t="s">
        <v>480</v>
      </c>
      <c r="L43" s="542"/>
      <c r="M43" s="580" t="s">
        <v>121</v>
      </c>
      <c r="N43" s="581"/>
      <c r="O43" s="581"/>
      <c r="P43" s="581"/>
      <c r="Q43" s="582"/>
      <c r="R43" s="29"/>
    </row>
    <row r="44" spans="1:18" ht="14.25">
      <c r="A44" s="609"/>
      <c r="C44" s="559"/>
      <c r="D44" s="592"/>
      <c r="E44" s="539"/>
      <c r="F44" s="539"/>
      <c r="G44" s="539"/>
      <c r="H44" s="543"/>
      <c r="I44" s="544"/>
      <c r="J44" s="548"/>
      <c r="K44" s="543"/>
      <c r="L44" s="544"/>
      <c r="M44" s="583"/>
      <c r="N44" s="584"/>
      <c r="O44" s="584"/>
      <c r="P44" s="584"/>
      <c r="Q44" s="585"/>
      <c r="R44" s="29"/>
    </row>
    <row r="45" spans="1:18" ht="28.5" customHeight="1" thickBot="1">
      <c r="A45" s="609"/>
      <c r="C45" s="560"/>
      <c r="D45" s="593"/>
      <c r="E45" s="540"/>
      <c r="F45" s="540"/>
      <c r="G45" s="540"/>
      <c r="H45" s="545"/>
      <c r="I45" s="546"/>
      <c r="J45" s="39" t="s">
        <v>122</v>
      </c>
      <c r="K45" s="545"/>
      <c r="L45" s="546"/>
      <c r="M45" s="40" t="s">
        <v>99</v>
      </c>
      <c r="N45" s="40" t="s">
        <v>100</v>
      </c>
      <c r="O45" s="40" t="s">
        <v>101</v>
      </c>
      <c r="P45" s="40" t="s">
        <v>102</v>
      </c>
      <c r="Q45" s="41" t="s">
        <v>103</v>
      </c>
      <c r="R45" s="29"/>
    </row>
    <row r="46" spans="1:18" ht="9" customHeight="1">
      <c r="A46" s="609"/>
      <c r="C46" s="586" t="s">
        <v>104</v>
      </c>
      <c r="D46" s="587">
        <f>D69</f>
        <v>647070753</v>
      </c>
      <c r="E46" s="588">
        <f>E69</f>
        <v>100857640</v>
      </c>
      <c r="F46" s="588">
        <f>F69</f>
        <v>90158020</v>
      </c>
      <c r="G46" s="589">
        <f>G69</f>
        <v>91445706</v>
      </c>
      <c r="H46" s="527">
        <f>H69+I69</f>
        <v>33500941</v>
      </c>
      <c r="I46" s="528"/>
      <c r="J46" s="590">
        <f>D46+E46-H46</f>
        <v>714427452</v>
      </c>
      <c r="K46" s="551">
        <f>L69</f>
        <v>335000836</v>
      </c>
      <c r="L46" s="552"/>
      <c r="M46" s="578">
        <f>D46/K46*100</f>
        <v>193.1549666341728</v>
      </c>
      <c r="N46" s="578">
        <f>E46/K46*100</f>
        <v>30.106683077053574</v>
      </c>
      <c r="O46" s="578">
        <f>G46/K46*100</f>
        <v>27.297157550973992</v>
      </c>
      <c r="P46" s="578">
        <f>J46/K46*100</f>
        <v>213.26139377156662</v>
      </c>
      <c r="Q46" s="579">
        <f>(D46+E46)/K46*100</f>
        <v>223.2616497112264</v>
      </c>
      <c r="R46" s="29"/>
    </row>
    <row r="47" spans="1:18" ht="9" customHeight="1">
      <c r="A47" s="609"/>
      <c r="C47" s="559"/>
      <c r="D47" s="573"/>
      <c r="E47" s="576"/>
      <c r="F47" s="576"/>
      <c r="G47" s="528"/>
      <c r="H47" s="527"/>
      <c r="I47" s="528"/>
      <c r="J47" s="532"/>
      <c r="K47" s="551"/>
      <c r="L47" s="552"/>
      <c r="M47" s="566"/>
      <c r="N47" s="566"/>
      <c r="O47" s="566"/>
      <c r="P47" s="566"/>
      <c r="Q47" s="556"/>
      <c r="R47" s="29"/>
    </row>
    <row r="48" spans="1:18" ht="9" customHeight="1">
      <c r="A48" s="609"/>
      <c r="C48" s="571"/>
      <c r="D48" s="573"/>
      <c r="E48" s="576"/>
      <c r="F48" s="576"/>
      <c r="G48" s="528"/>
      <c r="H48" s="536"/>
      <c r="I48" s="535"/>
      <c r="J48" s="537"/>
      <c r="K48" s="569"/>
      <c r="L48" s="570"/>
      <c r="M48" s="568"/>
      <c r="N48" s="568"/>
      <c r="O48" s="568"/>
      <c r="P48" s="568"/>
      <c r="Q48" s="557"/>
      <c r="R48" s="29"/>
    </row>
    <row r="49" spans="1:18" ht="9" customHeight="1">
      <c r="A49" s="609"/>
      <c r="C49" s="558" t="s">
        <v>105</v>
      </c>
      <c r="D49" s="572">
        <f>D117</f>
        <v>238287735</v>
      </c>
      <c r="E49" s="575">
        <f>E117</f>
        <v>26257959</v>
      </c>
      <c r="F49" s="575">
        <f>F117</f>
        <v>21458502</v>
      </c>
      <c r="G49" s="534">
        <f>G117</f>
        <v>78702984</v>
      </c>
      <c r="H49" s="527">
        <f>H117+I117</f>
        <v>38668401</v>
      </c>
      <c r="I49" s="528"/>
      <c r="J49" s="531">
        <f>D49+E49-H49</f>
        <v>225877293</v>
      </c>
      <c r="K49" s="551">
        <f>L117</f>
        <v>138784296</v>
      </c>
      <c r="L49" s="552"/>
      <c r="M49" s="565">
        <f>D49/K49*100</f>
        <v>171.6964684534625</v>
      </c>
      <c r="N49" s="565">
        <f>E49/K49*100</f>
        <v>18.919978525524243</v>
      </c>
      <c r="O49" s="565">
        <f>G49/K49*100</f>
        <v>56.70885414874317</v>
      </c>
      <c r="P49" s="565">
        <f>J49/K49*100</f>
        <v>162.75421608219995</v>
      </c>
      <c r="Q49" s="555">
        <f>(D49+E49)/K49*100</f>
        <v>190.61644697898672</v>
      </c>
      <c r="R49" s="29"/>
    </row>
    <row r="50" spans="1:18" ht="9" customHeight="1">
      <c r="A50" s="609"/>
      <c r="C50" s="559"/>
      <c r="D50" s="573"/>
      <c r="E50" s="576"/>
      <c r="F50" s="576"/>
      <c r="G50" s="528"/>
      <c r="H50" s="527"/>
      <c r="I50" s="528"/>
      <c r="J50" s="532"/>
      <c r="K50" s="551"/>
      <c r="L50" s="552"/>
      <c r="M50" s="566"/>
      <c r="N50" s="566"/>
      <c r="O50" s="566"/>
      <c r="P50" s="566"/>
      <c r="Q50" s="556"/>
      <c r="R50" s="29"/>
    </row>
    <row r="51" spans="1:18" ht="9" customHeight="1">
      <c r="A51" s="609"/>
      <c r="C51" s="571"/>
      <c r="D51" s="574"/>
      <c r="E51" s="577"/>
      <c r="F51" s="577"/>
      <c r="G51" s="535"/>
      <c r="H51" s="536"/>
      <c r="I51" s="535"/>
      <c r="J51" s="537"/>
      <c r="K51" s="569"/>
      <c r="L51" s="570"/>
      <c r="M51" s="568"/>
      <c r="N51" s="568"/>
      <c r="O51" s="568"/>
      <c r="P51" s="568"/>
      <c r="Q51" s="557"/>
      <c r="R51" s="29"/>
    </row>
    <row r="52" spans="1:18" ht="9" customHeight="1">
      <c r="A52" s="609"/>
      <c r="C52" s="558" t="s">
        <v>106</v>
      </c>
      <c r="D52" s="561">
        <f>D46+D49</f>
        <v>885358488</v>
      </c>
      <c r="E52" s="522">
        <f>E46+E49</f>
        <v>127115599</v>
      </c>
      <c r="F52" s="522">
        <f>F46+F49</f>
        <v>111616522</v>
      </c>
      <c r="G52" s="522">
        <f>G46+G49</f>
        <v>170148690</v>
      </c>
      <c r="H52" s="525">
        <f>H46+H49</f>
        <v>72169342</v>
      </c>
      <c r="I52" s="526"/>
      <c r="J52" s="531">
        <f>D52+E52-H52</f>
        <v>940304745</v>
      </c>
      <c r="K52" s="549">
        <f>K46+K49</f>
        <v>473785132</v>
      </c>
      <c r="L52" s="550"/>
      <c r="M52" s="565">
        <f>D52/K52*100</f>
        <v>186.86920044591017</v>
      </c>
      <c r="N52" s="565">
        <f>E52/K52*100</f>
        <v>26.829799082846694</v>
      </c>
      <c r="O52" s="565">
        <f>G52/K52*100</f>
        <v>35.91262758325645</v>
      </c>
      <c r="P52" s="565">
        <f>J52/K52*100</f>
        <v>198.46649493424795</v>
      </c>
      <c r="Q52" s="555">
        <f>(D52+E52)/K52*100</f>
        <v>213.69899952875687</v>
      </c>
      <c r="R52" s="29"/>
    </row>
    <row r="53" spans="1:18" ht="9" customHeight="1">
      <c r="A53" s="609"/>
      <c r="C53" s="559"/>
      <c r="D53" s="562"/>
      <c r="E53" s="523"/>
      <c r="F53" s="523"/>
      <c r="G53" s="523"/>
      <c r="H53" s="527"/>
      <c r="I53" s="528"/>
      <c r="J53" s="532"/>
      <c r="K53" s="551"/>
      <c r="L53" s="552"/>
      <c r="M53" s="566"/>
      <c r="N53" s="566"/>
      <c r="O53" s="566"/>
      <c r="P53" s="566"/>
      <c r="Q53" s="556"/>
      <c r="R53" s="29"/>
    </row>
    <row r="54" spans="1:18" ht="9" customHeight="1" thickBot="1">
      <c r="A54" s="609"/>
      <c r="C54" s="560"/>
      <c r="D54" s="563"/>
      <c r="E54" s="524"/>
      <c r="F54" s="524"/>
      <c r="G54" s="524"/>
      <c r="H54" s="529"/>
      <c r="I54" s="530"/>
      <c r="J54" s="533"/>
      <c r="K54" s="553"/>
      <c r="L54" s="554"/>
      <c r="M54" s="567"/>
      <c r="N54" s="567"/>
      <c r="O54" s="567"/>
      <c r="P54" s="567"/>
      <c r="Q54" s="564"/>
      <c r="R54" s="29"/>
    </row>
    <row r="55" spans="3:15" ht="14.25" hidden="1">
      <c r="C55" s="29"/>
      <c r="D55" s="278" t="s">
        <v>424</v>
      </c>
      <c r="E55" s="278" t="s">
        <v>425</v>
      </c>
      <c r="F55" s="278" t="s">
        <v>426</v>
      </c>
      <c r="G55" s="278" t="s">
        <v>427</v>
      </c>
      <c r="H55" s="279" t="s">
        <v>428</v>
      </c>
      <c r="I55" s="279" t="s">
        <v>429</v>
      </c>
      <c r="J55" s="29"/>
      <c r="K55" s="29"/>
      <c r="L55" s="29"/>
      <c r="M55" s="29"/>
      <c r="N55" s="29"/>
      <c r="O55" s="29"/>
    </row>
    <row r="56" spans="2:12" ht="19.5" customHeight="1" hidden="1">
      <c r="B56" s="23" t="s">
        <v>362</v>
      </c>
      <c r="C56" s="23" t="s">
        <v>209</v>
      </c>
      <c r="D56" s="23">
        <v>95712079</v>
      </c>
      <c r="E56" s="23">
        <v>18051595</v>
      </c>
      <c r="F56" s="23">
        <v>17090983</v>
      </c>
      <c r="G56" s="23">
        <v>20621422</v>
      </c>
      <c r="H56" s="23">
        <v>1985876</v>
      </c>
      <c r="I56" s="23">
        <v>996874</v>
      </c>
      <c r="L56" s="23">
        <v>51794094</v>
      </c>
    </row>
    <row r="57" spans="2:12" ht="19.5" customHeight="1" hidden="1">
      <c r="B57" s="23" t="s">
        <v>363</v>
      </c>
      <c r="C57" s="23" t="s">
        <v>210</v>
      </c>
      <c r="D57" s="23">
        <v>57177517</v>
      </c>
      <c r="E57" s="23">
        <v>3726711</v>
      </c>
      <c r="F57" s="24">
        <v>3723755</v>
      </c>
      <c r="G57" s="24">
        <v>6492706</v>
      </c>
      <c r="H57" s="23">
        <v>486513</v>
      </c>
      <c r="I57" s="23">
        <v>53853</v>
      </c>
      <c r="L57" s="23">
        <v>26667923</v>
      </c>
    </row>
    <row r="58" spans="2:12" ht="19.5" customHeight="1" hidden="1">
      <c r="B58" s="23" t="s">
        <v>364</v>
      </c>
      <c r="C58" s="23" t="s">
        <v>211</v>
      </c>
      <c r="D58" s="23">
        <v>103034055</v>
      </c>
      <c r="E58" s="24">
        <v>15431742</v>
      </c>
      <c r="F58" s="96">
        <v>12382672</v>
      </c>
      <c r="G58" s="96">
        <v>18011093</v>
      </c>
      <c r="H58" s="23">
        <v>7437325</v>
      </c>
      <c r="I58" s="23">
        <v>2950832</v>
      </c>
      <c r="L58" s="23">
        <v>63720231</v>
      </c>
    </row>
    <row r="59" spans="2:12" ht="19.5" customHeight="1" hidden="1">
      <c r="B59" s="23" t="s">
        <v>365</v>
      </c>
      <c r="C59" s="23" t="s">
        <v>212</v>
      </c>
      <c r="D59" s="23">
        <v>148240455</v>
      </c>
      <c r="E59" s="24">
        <v>20718299</v>
      </c>
      <c r="F59" s="96">
        <v>19802409</v>
      </c>
      <c r="G59" s="96">
        <v>13126052</v>
      </c>
      <c r="H59" s="23">
        <v>5723552</v>
      </c>
      <c r="I59" s="23">
        <v>119944</v>
      </c>
      <c r="L59" s="23">
        <v>68702058</v>
      </c>
    </row>
    <row r="60" spans="2:12" ht="19.5" customHeight="1" hidden="1">
      <c r="B60" s="23" t="s">
        <v>366</v>
      </c>
      <c r="C60" s="23" t="s">
        <v>213</v>
      </c>
      <c r="D60" s="23">
        <v>35866517</v>
      </c>
      <c r="E60" s="24">
        <v>3016905</v>
      </c>
      <c r="F60" s="96">
        <v>2872527</v>
      </c>
      <c r="G60" s="96">
        <v>3809527</v>
      </c>
      <c r="H60" s="23">
        <v>991765</v>
      </c>
      <c r="I60" s="23">
        <v>421205</v>
      </c>
      <c r="L60" s="23">
        <v>15767868</v>
      </c>
    </row>
    <row r="61" spans="2:12" ht="19.5" customHeight="1" hidden="1">
      <c r="B61" s="23" t="s">
        <v>367</v>
      </c>
      <c r="C61" s="23" t="s">
        <v>214</v>
      </c>
      <c r="D61" s="23">
        <v>29834979</v>
      </c>
      <c r="E61" s="23">
        <v>1397811</v>
      </c>
      <c r="F61" s="23">
        <v>1139915</v>
      </c>
      <c r="G61" s="23">
        <v>3246139</v>
      </c>
      <c r="H61" s="23">
        <v>1737656</v>
      </c>
      <c r="I61" s="23">
        <v>250442</v>
      </c>
      <c r="L61" s="23">
        <v>16654150</v>
      </c>
    </row>
    <row r="62" spans="2:12" ht="19.5" customHeight="1" hidden="1">
      <c r="B62" s="23" t="s">
        <v>368</v>
      </c>
      <c r="C62" s="23" t="s">
        <v>215</v>
      </c>
      <c r="D62" s="23">
        <v>24663650</v>
      </c>
      <c r="E62" s="23">
        <v>6696023</v>
      </c>
      <c r="F62" s="23">
        <v>6192564</v>
      </c>
      <c r="G62" s="23">
        <v>2590925</v>
      </c>
      <c r="H62" s="23">
        <v>853057</v>
      </c>
      <c r="I62" s="23">
        <v>79338</v>
      </c>
      <c r="L62" s="23">
        <v>14736877</v>
      </c>
    </row>
    <row r="63" spans="2:12" ht="19.5" customHeight="1" hidden="1">
      <c r="B63" s="23" t="s">
        <v>369</v>
      </c>
      <c r="C63" s="23" t="s">
        <v>216</v>
      </c>
      <c r="D63" s="23">
        <v>15551241</v>
      </c>
      <c r="E63" s="23">
        <v>10932305</v>
      </c>
      <c r="F63" s="23">
        <v>7697928</v>
      </c>
      <c r="G63" s="23">
        <v>3497197</v>
      </c>
      <c r="H63" s="23">
        <v>2666144</v>
      </c>
      <c r="I63" s="23">
        <v>546298</v>
      </c>
      <c r="L63" s="23">
        <v>8535688</v>
      </c>
    </row>
    <row r="64" spans="2:12" ht="19.5" customHeight="1" hidden="1">
      <c r="B64" s="23" t="s">
        <v>370</v>
      </c>
      <c r="C64" s="23" t="s">
        <v>217</v>
      </c>
      <c r="D64" s="23">
        <v>29709440</v>
      </c>
      <c r="E64" s="23">
        <v>6699309</v>
      </c>
      <c r="F64" s="23">
        <v>5931089</v>
      </c>
      <c r="G64" s="23">
        <v>3350166</v>
      </c>
      <c r="H64" s="23">
        <v>1165669</v>
      </c>
      <c r="I64" s="23">
        <v>275937</v>
      </c>
      <c r="L64" s="23">
        <v>15716324</v>
      </c>
    </row>
    <row r="65" spans="2:12" ht="19.5" customHeight="1" hidden="1">
      <c r="B65" s="23" t="s">
        <v>371</v>
      </c>
      <c r="C65" s="23" t="s">
        <v>218</v>
      </c>
      <c r="D65" s="23">
        <v>25188913</v>
      </c>
      <c r="E65" s="23">
        <v>6003471</v>
      </c>
      <c r="F65" s="23">
        <v>5922709</v>
      </c>
      <c r="G65" s="23">
        <v>3203230</v>
      </c>
      <c r="H65" s="23">
        <v>1788618</v>
      </c>
      <c r="I65" s="23">
        <v>36345</v>
      </c>
      <c r="L65" s="23">
        <v>12535096</v>
      </c>
    </row>
    <row r="66" spans="2:12" ht="19.5" customHeight="1" hidden="1">
      <c r="B66" s="23" t="s">
        <v>372</v>
      </c>
      <c r="C66" s="23" t="s">
        <v>219</v>
      </c>
      <c r="D66" s="23">
        <v>33566974</v>
      </c>
      <c r="E66" s="23">
        <v>5392763</v>
      </c>
      <c r="F66" s="23">
        <v>4813027</v>
      </c>
      <c r="G66" s="23">
        <v>7951710</v>
      </c>
      <c r="H66" s="23">
        <v>927527</v>
      </c>
      <c r="I66" s="23">
        <v>134352</v>
      </c>
      <c r="L66" s="23">
        <v>16915799</v>
      </c>
    </row>
    <row r="67" spans="2:12" ht="19.5" customHeight="1" hidden="1">
      <c r="B67" s="23" t="s">
        <v>373</v>
      </c>
      <c r="C67" s="23" t="s">
        <v>220</v>
      </c>
      <c r="D67" s="23">
        <v>34848010</v>
      </c>
      <c r="E67" s="23">
        <v>1109398</v>
      </c>
      <c r="F67" s="23">
        <v>907134</v>
      </c>
      <c r="G67" s="23">
        <v>3281206</v>
      </c>
      <c r="H67" s="23">
        <v>549976</v>
      </c>
      <c r="I67" s="23">
        <v>164518</v>
      </c>
      <c r="L67" s="23">
        <v>15873527</v>
      </c>
    </row>
    <row r="68" spans="2:12" ht="19.5" customHeight="1" hidden="1">
      <c r="B68" s="23" t="s">
        <v>374</v>
      </c>
      <c r="C68" s="23" t="s">
        <v>292</v>
      </c>
      <c r="D68" s="23">
        <v>13676923</v>
      </c>
      <c r="E68" s="23">
        <v>1681308</v>
      </c>
      <c r="F68" s="23">
        <v>1681308</v>
      </c>
      <c r="G68" s="23">
        <v>2264333</v>
      </c>
      <c r="H68" s="23">
        <v>1157325</v>
      </c>
      <c r="I68" s="23">
        <v>0</v>
      </c>
      <c r="L68" s="23">
        <v>7381201</v>
      </c>
    </row>
    <row r="69" spans="3:12" ht="19.5" customHeight="1" hidden="1">
      <c r="C69" s="23" t="s">
        <v>422</v>
      </c>
      <c r="D69" s="277">
        <f aca="true" t="shared" si="7" ref="D69:L69">SUM(D56:D68)</f>
        <v>647070753</v>
      </c>
      <c r="E69" s="277">
        <f t="shared" si="7"/>
        <v>100857640</v>
      </c>
      <c r="F69" s="277">
        <f t="shared" si="7"/>
        <v>90158020</v>
      </c>
      <c r="G69" s="277">
        <f t="shared" si="7"/>
        <v>91445706</v>
      </c>
      <c r="H69" s="277">
        <f t="shared" si="7"/>
        <v>27471003</v>
      </c>
      <c r="I69" s="277">
        <f t="shared" si="7"/>
        <v>6029938</v>
      </c>
      <c r="J69" s="277">
        <f t="shared" si="7"/>
        <v>0</v>
      </c>
      <c r="K69" s="277">
        <f t="shared" si="7"/>
        <v>0</v>
      </c>
      <c r="L69" s="277">
        <f t="shared" si="7"/>
        <v>335000836</v>
      </c>
    </row>
    <row r="70" spans="2:12" ht="19.5" customHeight="1" hidden="1">
      <c r="B70" s="23" t="s">
        <v>375</v>
      </c>
      <c r="C70" s="23" t="s">
        <v>221</v>
      </c>
      <c r="D70" s="23">
        <v>4766066</v>
      </c>
      <c r="E70" s="23">
        <v>465521</v>
      </c>
      <c r="F70" s="23">
        <v>168021</v>
      </c>
      <c r="G70" s="23">
        <v>1111753</v>
      </c>
      <c r="H70" s="23">
        <v>379564</v>
      </c>
      <c r="I70" s="23">
        <v>132717</v>
      </c>
      <c r="L70" s="23">
        <v>3044094</v>
      </c>
    </row>
    <row r="71" spans="2:12" ht="19.5" customHeight="1" hidden="1">
      <c r="B71" s="23" t="s">
        <v>376</v>
      </c>
      <c r="C71" s="23" t="s">
        <v>222</v>
      </c>
      <c r="D71" s="23">
        <v>5868878</v>
      </c>
      <c r="E71" s="23">
        <v>103921</v>
      </c>
      <c r="F71" s="23">
        <v>103129</v>
      </c>
      <c r="G71" s="23">
        <v>1331170</v>
      </c>
      <c r="H71" s="23">
        <v>626768</v>
      </c>
      <c r="I71" s="23">
        <v>0</v>
      </c>
      <c r="L71" s="23">
        <v>2836346</v>
      </c>
    </row>
    <row r="72" spans="2:12" ht="19.5" customHeight="1" hidden="1">
      <c r="B72" s="23" t="s">
        <v>377</v>
      </c>
      <c r="C72" s="23" t="s">
        <v>223</v>
      </c>
      <c r="D72" s="23">
        <v>5712860</v>
      </c>
      <c r="E72" s="23">
        <v>353510</v>
      </c>
      <c r="F72" s="23">
        <v>353298</v>
      </c>
      <c r="G72" s="23">
        <v>908404</v>
      </c>
      <c r="H72" s="23">
        <v>709345</v>
      </c>
      <c r="I72" s="23">
        <v>6</v>
      </c>
      <c r="L72" s="23">
        <v>3757078</v>
      </c>
    </row>
    <row r="73" spans="2:12" ht="19.5" customHeight="1" hidden="1">
      <c r="B73" s="23" t="s">
        <v>378</v>
      </c>
      <c r="C73" s="23" t="s">
        <v>224</v>
      </c>
      <c r="D73" s="23">
        <v>3608470</v>
      </c>
      <c r="E73" s="23">
        <v>234488</v>
      </c>
      <c r="F73" s="23">
        <v>234488</v>
      </c>
      <c r="G73" s="23">
        <v>338043</v>
      </c>
      <c r="H73" s="23">
        <v>156803</v>
      </c>
      <c r="I73" s="23">
        <v>19172</v>
      </c>
      <c r="L73" s="23">
        <v>1766771</v>
      </c>
    </row>
    <row r="74" spans="2:12" ht="19.5" customHeight="1" hidden="1">
      <c r="B74" s="23" t="s">
        <v>379</v>
      </c>
      <c r="C74" s="23" t="s">
        <v>225</v>
      </c>
      <c r="D74" s="23">
        <v>3675108</v>
      </c>
      <c r="E74" s="23">
        <v>171244</v>
      </c>
      <c r="F74" s="23">
        <v>171244</v>
      </c>
      <c r="G74" s="23">
        <v>1384338</v>
      </c>
      <c r="H74" s="23">
        <v>528032</v>
      </c>
      <c r="I74" s="23">
        <v>5676</v>
      </c>
      <c r="L74" s="23">
        <v>2269704</v>
      </c>
    </row>
    <row r="75" spans="2:12" ht="19.5" customHeight="1" hidden="1">
      <c r="B75" s="23" t="s">
        <v>380</v>
      </c>
      <c r="C75" s="23" t="s">
        <v>226</v>
      </c>
      <c r="D75" s="23">
        <v>6055744</v>
      </c>
      <c r="E75" s="23">
        <v>809304</v>
      </c>
      <c r="F75" s="23">
        <v>567264</v>
      </c>
      <c r="G75" s="23">
        <v>1297167</v>
      </c>
      <c r="H75" s="23">
        <v>268892</v>
      </c>
      <c r="I75" s="23">
        <v>70173</v>
      </c>
      <c r="L75" s="23">
        <v>2875323</v>
      </c>
    </row>
    <row r="76" spans="2:12" ht="19.5" customHeight="1" hidden="1">
      <c r="B76" s="23" t="s">
        <v>381</v>
      </c>
      <c r="C76" s="23" t="s">
        <v>227</v>
      </c>
      <c r="D76" s="23">
        <v>4029693</v>
      </c>
      <c r="E76" s="23">
        <v>590863</v>
      </c>
      <c r="F76" s="23">
        <v>590343</v>
      </c>
      <c r="G76" s="23">
        <v>714296</v>
      </c>
      <c r="H76" s="23">
        <v>370899</v>
      </c>
      <c r="I76" s="23">
        <v>828</v>
      </c>
      <c r="L76" s="23">
        <v>2373863</v>
      </c>
    </row>
    <row r="77" spans="2:12" ht="19.5" customHeight="1" hidden="1">
      <c r="B77" s="23" t="s">
        <v>382</v>
      </c>
      <c r="C77" s="23" t="s">
        <v>228</v>
      </c>
      <c r="D77" s="23">
        <v>4479196</v>
      </c>
      <c r="E77" s="23">
        <v>38321</v>
      </c>
      <c r="F77" s="23">
        <v>38321</v>
      </c>
      <c r="G77" s="23">
        <v>1396298</v>
      </c>
      <c r="H77" s="23">
        <v>607256</v>
      </c>
      <c r="I77" s="23">
        <v>3838</v>
      </c>
      <c r="L77" s="23">
        <v>2969105</v>
      </c>
    </row>
    <row r="78" spans="2:12" ht="19.5" customHeight="1" hidden="1">
      <c r="B78" s="23" t="s">
        <v>383</v>
      </c>
      <c r="C78" s="23" t="s">
        <v>229</v>
      </c>
      <c r="D78" s="23">
        <v>1410236</v>
      </c>
      <c r="E78" s="23">
        <v>5198</v>
      </c>
      <c r="F78" s="23">
        <v>5198</v>
      </c>
      <c r="G78" s="23">
        <v>3221042</v>
      </c>
      <c r="H78" s="23">
        <v>476778</v>
      </c>
      <c r="I78" s="23">
        <v>1528318</v>
      </c>
      <c r="L78" s="23">
        <v>967273</v>
      </c>
    </row>
    <row r="79" spans="2:12" ht="19.5" customHeight="1" hidden="1">
      <c r="B79" s="23" t="s">
        <v>384</v>
      </c>
      <c r="C79" s="23" t="s">
        <v>230</v>
      </c>
      <c r="D79" s="23">
        <v>4881797</v>
      </c>
      <c r="E79" s="23">
        <v>28661</v>
      </c>
      <c r="F79" s="23">
        <v>28661</v>
      </c>
      <c r="G79" s="23">
        <v>2288706</v>
      </c>
      <c r="H79" s="23">
        <v>444308</v>
      </c>
      <c r="I79" s="23">
        <v>300647</v>
      </c>
      <c r="L79" s="23">
        <v>3032657</v>
      </c>
    </row>
    <row r="80" spans="2:12" ht="19.5" customHeight="1" hidden="1">
      <c r="B80" s="23" t="s">
        <v>385</v>
      </c>
      <c r="C80" s="23" t="s">
        <v>294</v>
      </c>
      <c r="D80" s="23">
        <v>16082723</v>
      </c>
      <c r="E80" s="23">
        <v>175823</v>
      </c>
      <c r="F80" s="23">
        <v>174440</v>
      </c>
      <c r="G80" s="23">
        <v>2030299</v>
      </c>
      <c r="H80" s="23">
        <v>410260</v>
      </c>
      <c r="I80" s="23">
        <v>59428</v>
      </c>
      <c r="L80" s="23">
        <v>8066000</v>
      </c>
    </row>
    <row r="81" spans="2:12" ht="19.5" customHeight="1" hidden="1">
      <c r="B81" s="23" t="s">
        <v>386</v>
      </c>
      <c r="C81" s="23" t="s">
        <v>231</v>
      </c>
      <c r="D81" s="23">
        <v>4075174</v>
      </c>
      <c r="E81" s="23">
        <v>328891</v>
      </c>
      <c r="F81" s="23">
        <v>293355</v>
      </c>
      <c r="G81" s="23">
        <v>449628</v>
      </c>
      <c r="H81" s="23">
        <v>293085</v>
      </c>
      <c r="I81" s="23">
        <v>6381</v>
      </c>
      <c r="L81" s="23">
        <v>1906745</v>
      </c>
    </row>
    <row r="82" spans="2:12" ht="19.5" customHeight="1" hidden="1">
      <c r="B82" s="23" t="s">
        <v>387</v>
      </c>
      <c r="C82" s="23" t="s">
        <v>232</v>
      </c>
      <c r="D82" s="23">
        <v>7076868</v>
      </c>
      <c r="E82" s="23">
        <v>140244</v>
      </c>
      <c r="F82" s="23">
        <v>140244</v>
      </c>
      <c r="G82" s="23">
        <v>321453</v>
      </c>
      <c r="H82" s="23">
        <v>267970</v>
      </c>
      <c r="I82" s="23">
        <v>10873</v>
      </c>
      <c r="L82" s="23">
        <v>3294436</v>
      </c>
    </row>
    <row r="83" spans="2:12" ht="19.5" customHeight="1" hidden="1">
      <c r="B83" s="23" t="s">
        <v>388</v>
      </c>
      <c r="C83" s="23" t="s">
        <v>233</v>
      </c>
      <c r="D83" s="23">
        <v>2911212</v>
      </c>
      <c r="E83" s="23">
        <v>159048</v>
      </c>
      <c r="F83" s="23">
        <v>159048</v>
      </c>
      <c r="G83" s="23">
        <v>1130335</v>
      </c>
      <c r="H83" s="23">
        <v>527854</v>
      </c>
      <c r="I83" s="23">
        <v>277070</v>
      </c>
      <c r="L83" s="23">
        <v>1858821</v>
      </c>
    </row>
    <row r="84" spans="2:12" ht="19.5" customHeight="1" hidden="1">
      <c r="B84" s="23" t="s">
        <v>389</v>
      </c>
      <c r="C84" s="23" t="s">
        <v>234</v>
      </c>
      <c r="D84" s="23">
        <v>10247966</v>
      </c>
      <c r="E84" s="23">
        <v>1469868</v>
      </c>
      <c r="F84" s="23">
        <v>763850</v>
      </c>
      <c r="G84" s="23">
        <v>1177596</v>
      </c>
      <c r="H84" s="23">
        <v>277853</v>
      </c>
      <c r="I84" s="23">
        <v>106595</v>
      </c>
      <c r="L84" s="23">
        <v>4813041</v>
      </c>
    </row>
    <row r="85" spans="2:12" ht="19.5" customHeight="1" hidden="1">
      <c r="B85" s="23" t="s">
        <v>390</v>
      </c>
      <c r="C85" s="23" t="s">
        <v>235</v>
      </c>
      <c r="D85" s="23">
        <v>9005667</v>
      </c>
      <c r="E85" s="23">
        <v>875029</v>
      </c>
      <c r="F85" s="23">
        <v>853844</v>
      </c>
      <c r="G85" s="23">
        <v>69349</v>
      </c>
      <c r="H85" s="23">
        <v>15071</v>
      </c>
      <c r="I85" s="23">
        <v>78</v>
      </c>
      <c r="L85" s="23">
        <v>4254081</v>
      </c>
    </row>
    <row r="86" spans="2:12" ht="19.5" customHeight="1" hidden="1">
      <c r="B86" s="23" t="s">
        <v>391</v>
      </c>
      <c r="C86" s="23" t="s">
        <v>236</v>
      </c>
      <c r="D86" s="23">
        <v>1776963</v>
      </c>
      <c r="E86" s="23">
        <v>73299</v>
      </c>
      <c r="F86" s="23">
        <v>73299</v>
      </c>
      <c r="G86" s="23">
        <v>1160847</v>
      </c>
      <c r="H86" s="23">
        <v>334891</v>
      </c>
      <c r="I86" s="23">
        <v>20919</v>
      </c>
      <c r="L86" s="23">
        <v>1349712</v>
      </c>
    </row>
    <row r="87" spans="2:12" ht="19.5" customHeight="1" hidden="1">
      <c r="B87" s="23" t="s">
        <v>392</v>
      </c>
      <c r="C87" s="23" t="s">
        <v>237</v>
      </c>
      <c r="D87" s="23">
        <v>4283098</v>
      </c>
      <c r="E87" s="23">
        <v>114615</v>
      </c>
      <c r="F87" s="23">
        <v>114615</v>
      </c>
      <c r="G87" s="23">
        <v>1668238</v>
      </c>
      <c r="H87" s="23">
        <v>373006</v>
      </c>
      <c r="I87" s="23">
        <v>460713</v>
      </c>
      <c r="L87" s="23">
        <v>2242305</v>
      </c>
    </row>
    <row r="88" spans="2:12" ht="19.5" customHeight="1" hidden="1">
      <c r="B88" s="23" t="s">
        <v>393</v>
      </c>
      <c r="C88" s="23" t="s">
        <v>238</v>
      </c>
      <c r="D88" s="23">
        <v>2534493</v>
      </c>
      <c r="E88" s="23">
        <v>0</v>
      </c>
      <c r="F88" s="23">
        <v>0</v>
      </c>
      <c r="G88" s="23">
        <v>282323</v>
      </c>
      <c r="H88" s="23">
        <v>273119</v>
      </c>
      <c r="I88" s="23">
        <v>83</v>
      </c>
      <c r="L88" s="23">
        <v>1183462</v>
      </c>
    </row>
    <row r="89" spans="2:12" ht="19.5" customHeight="1" hidden="1">
      <c r="B89" s="23" t="s">
        <v>394</v>
      </c>
      <c r="C89" s="23" t="s">
        <v>239</v>
      </c>
      <c r="D89" s="23">
        <v>2756486</v>
      </c>
      <c r="E89" s="23">
        <v>14411</v>
      </c>
      <c r="F89" s="23">
        <v>14411</v>
      </c>
      <c r="G89" s="23">
        <v>766698</v>
      </c>
      <c r="H89" s="23">
        <v>454542</v>
      </c>
      <c r="I89" s="23">
        <v>34339</v>
      </c>
      <c r="L89" s="23">
        <v>1725130</v>
      </c>
    </row>
    <row r="90" spans="2:12" ht="19.5" customHeight="1" hidden="1">
      <c r="B90" s="23" t="s">
        <v>395</v>
      </c>
      <c r="C90" s="23" t="s">
        <v>240</v>
      </c>
      <c r="D90" s="23">
        <v>1627453</v>
      </c>
      <c r="E90" s="23">
        <v>0</v>
      </c>
      <c r="F90" s="23">
        <v>0</v>
      </c>
      <c r="G90" s="23">
        <v>1370837</v>
      </c>
      <c r="H90" s="23">
        <v>644357</v>
      </c>
      <c r="I90" s="23">
        <v>139885</v>
      </c>
      <c r="L90" s="23">
        <v>1226097</v>
      </c>
    </row>
    <row r="91" spans="2:12" ht="19.5" customHeight="1" hidden="1">
      <c r="B91" s="23" t="s">
        <v>396</v>
      </c>
      <c r="C91" s="23" t="s">
        <v>241</v>
      </c>
      <c r="D91" s="23">
        <v>14950391</v>
      </c>
      <c r="E91" s="23">
        <v>2866205</v>
      </c>
      <c r="F91" s="23">
        <v>1441281</v>
      </c>
      <c r="G91" s="23">
        <v>3132699</v>
      </c>
      <c r="H91" s="23">
        <v>1062255</v>
      </c>
      <c r="I91" s="23">
        <v>39507</v>
      </c>
      <c r="L91" s="23">
        <v>6796239</v>
      </c>
    </row>
    <row r="92" spans="2:12" ht="19.5" customHeight="1" hidden="1">
      <c r="B92" s="23" t="s">
        <v>397</v>
      </c>
      <c r="C92" s="23" t="s">
        <v>242</v>
      </c>
      <c r="D92" s="23">
        <v>7392628</v>
      </c>
      <c r="E92" s="23">
        <v>1691357</v>
      </c>
      <c r="F92" s="23">
        <v>1637121</v>
      </c>
      <c r="G92" s="23">
        <v>4326245</v>
      </c>
      <c r="H92" s="23">
        <v>1659955</v>
      </c>
      <c r="I92" s="23">
        <v>429312</v>
      </c>
      <c r="L92" s="23">
        <v>6573696</v>
      </c>
    </row>
    <row r="93" spans="2:12" ht="19.5" customHeight="1" hidden="1">
      <c r="B93" s="23" t="s">
        <v>398</v>
      </c>
      <c r="C93" s="23" t="s">
        <v>243</v>
      </c>
      <c r="D93" s="23">
        <v>5985785</v>
      </c>
      <c r="E93" s="23">
        <v>102604</v>
      </c>
      <c r="F93" s="23">
        <v>98782</v>
      </c>
      <c r="G93" s="23">
        <v>634931</v>
      </c>
      <c r="H93" s="23">
        <v>324613</v>
      </c>
      <c r="I93" s="23">
        <v>186726</v>
      </c>
      <c r="L93" s="23">
        <v>2164284</v>
      </c>
    </row>
    <row r="94" spans="2:12" ht="19.5" customHeight="1" hidden="1">
      <c r="B94" s="23" t="s">
        <v>399</v>
      </c>
      <c r="C94" s="23" t="s">
        <v>244</v>
      </c>
      <c r="D94" s="23">
        <v>2625887</v>
      </c>
      <c r="E94" s="23">
        <v>20287</v>
      </c>
      <c r="F94" s="23">
        <v>10144</v>
      </c>
      <c r="G94" s="23">
        <v>1429259</v>
      </c>
      <c r="H94" s="23">
        <v>1081502</v>
      </c>
      <c r="I94" s="23">
        <v>87903</v>
      </c>
      <c r="L94" s="23">
        <v>1532394</v>
      </c>
    </row>
    <row r="95" spans="2:12" ht="19.5" customHeight="1" hidden="1">
      <c r="B95" s="23" t="s">
        <v>400</v>
      </c>
      <c r="C95" s="23" t="s">
        <v>245</v>
      </c>
      <c r="D95" s="23">
        <v>8135129</v>
      </c>
      <c r="E95" s="23">
        <v>1170172</v>
      </c>
      <c r="F95" s="23">
        <v>1166752</v>
      </c>
      <c r="G95" s="23">
        <v>671976</v>
      </c>
      <c r="H95" s="23">
        <v>348058</v>
      </c>
      <c r="I95" s="23">
        <v>4736</v>
      </c>
      <c r="L95" s="23">
        <v>4201022</v>
      </c>
    </row>
    <row r="96" spans="2:12" ht="19.5" customHeight="1" hidden="1">
      <c r="B96" s="23" t="s">
        <v>401</v>
      </c>
      <c r="C96" s="23" t="s">
        <v>246</v>
      </c>
      <c r="D96" s="23">
        <v>4813968</v>
      </c>
      <c r="E96" s="23">
        <v>926765</v>
      </c>
      <c r="F96" s="23">
        <v>915772</v>
      </c>
      <c r="G96" s="23">
        <v>1339982</v>
      </c>
      <c r="H96" s="23">
        <v>723819</v>
      </c>
      <c r="I96" s="23">
        <v>83435</v>
      </c>
      <c r="L96" s="23">
        <v>3439106</v>
      </c>
    </row>
    <row r="97" spans="2:12" ht="19.5" customHeight="1" hidden="1">
      <c r="B97" s="23" t="s">
        <v>402</v>
      </c>
      <c r="C97" s="23" t="s">
        <v>247</v>
      </c>
      <c r="D97" s="23">
        <v>4193288</v>
      </c>
      <c r="E97" s="23">
        <v>135711</v>
      </c>
      <c r="F97" s="23">
        <v>135470</v>
      </c>
      <c r="G97" s="23">
        <v>1590489</v>
      </c>
      <c r="H97" s="23">
        <v>1202499</v>
      </c>
      <c r="I97" s="23">
        <v>102583</v>
      </c>
      <c r="L97" s="23">
        <v>2214857</v>
      </c>
    </row>
    <row r="98" spans="2:12" ht="19.5" customHeight="1" hidden="1">
      <c r="B98" s="23" t="s">
        <v>403</v>
      </c>
      <c r="C98" s="23" t="s">
        <v>248</v>
      </c>
      <c r="D98" s="23">
        <v>5108575</v>
      </c>
      <c r="E98" s="23">
        <v>109132</v>
      </c>
      <c r="F98" s="23">
        <v>107043</v>
      </c>
      <c r="G98" s="23">
        <v>1288387</v>
      </c>
      <c r="H98" s="23">
        <v>504399</v>
      </c>
      <c r="I98" s="23">
        <v>37907</v>
      </c>
      <c r="L98" s="23">
        <v>3321390</v>
      </c>
    </row>
    <row r="99" spans="2:12" ht="19.5" customHeight="1" hidden="1">
      <c r="B99" s="23" t="s">
        <v>404</v>
      </c>
      <c r="C99" s="23" t="s">
        <v>249</v>
      </c>
      <c r="D99" s="23">
        <v>3170801</v>
      </c>
      <c r="E99" s="23">
        <v>196260</v>
      </c>
      <c r="F99" s="23">
        <v>55650</v>
      </c>
      <c r="G99" s="23">
        <v>795746</v>
      </c>
      <c r="H99" s="23">
        <v>504897</v>
      </c>
      <c r="I99" s="23">
        <v>2531</v>
      </c>
      <c r="L99" s="23">
        <v>1790025</v>
      </c>
    </row>
    <row r="100" spans="2:12" ht="19.5" customHeight="1" hidden="1">
      <c r="B100" s="23" t="s">
        <v>405</v>
      </c>
      <c r="C100" s="23" t="s">
        <v>250</v>
      </c>
      <c r="D100" s="23">
        <v>5574031</v>
      </c>
      <c r="E100" s="23">
        <v>1202933</v>
      </c>
      <c r="F100" s="23">
        <v>1198774</v>
      </c>
      <c r="G100" s="23">
        <v>904928</v>
      </c>
      <c r="H100" s="23">
        <v>104000</v>
      </c>
      <c r="I100" s="23">
        <v>0</v>
      </c>
      <c r="L100" s="23">
        <v>4385207</v>
      </c>
    </row>
    <row r="101" spans="2:12" ht="19.5" customHeight="1" hidden="1">
      <c r="B101" s="23" t="s">
        <v>406</v>
      </c>
      <c r="C101" s="23" t="s">
        <v>251</v>
      </c>
      <c r="D101" s="23">
        <v>5073598</v>
      </c>
      <c r="E101" s="23">
        <v>536436</v>
      </c>
      <c r="F101" s="23">
        <v>536436</v>
      </c>
      <c r="G101" s="23">
        <v>621228</v>
      </c>
      <c r="H101" s="23">
        <v>402351</v>
      </c>
      <c r="I101" s="23">
        <v>52776</v>
      </c>
      <c r="L101" s="23">
        <v>2163485</v>
      </c>
    </row>
    <row r="102" spans="2:12" ht="19.5" customHeight="1" hidden="1">
      <c r="B102" s="23" t="s">
        <v>407</v>
      </c>
      <c r="C102" s="23" t="s">
        <v>252</v>
      </c>
      <c r="D102" s="23">
        <v>4980331</v>
      </c>
      <c r="E102" s="23">
        <v>418850</v>
      </c>
      <c r="F102" s="23">
        <v>415667</v>
      </c>
      <c r="G102" s="23">
        <v>925859</v>
      </c>
      <c r="H102" s="23">
        <v>634445</v>
      </c>
      <c r="I102" s="23">
        <v>112401</v>
      </c>
      <c r="L102" s="23">
        <v>2389593</v>
      </c>
    </row>
    <row r="103" spans="2:12" ht="19.5" customHeight="1" hidden="1">
      <c r="B103" s="23" t="s">
        <v>408</v>
      </c>
      <c r="C103" s="23" t="s">
        <v>253</v>
      </c>
      <c r="D103" s="23">
        <v>3615303</v>
      </c>
      <c r="E103" s="23">
        <v>413058</v>
      </c>
      <c r="F103" s="23">
        <v>406055</v>
      </c>
      <c r="G103" s="23">
        <v>1380070</v>
      </c>
      <c r="H103" s="23">
        <v>650000</v>
      </c>
      <c r="I103" s="23">
        <v>40000</v>
      </c>
      <c r="L103" s="23">
        <v>1980947</v>
      </c>
    </row>
    <row r="104" spans="2:12" ht="19.5" customHeight="1" hidden="1">
      <c r="B104" s="23" t="s">
        <v>409</v>
      </c>
      <c r="C104" s="23" t="s">
        <v>254</v>
      </c>
      <c r="D104" s="23">
        <v>4238145</v>
      </c>
      <c r="E104" s="23">
        <v>390487</v>
      </c>
      <c r="F104" s="23">
        <v>378592</v>
      </c>
      <c r="G104" s="23">
        <v>2037060</v>
      </c>
      <c r="H104" s="23">
        <v>952530</v>
      </c>
      <c r="I104" s="23">
        <v>200310</v>
      </c>
      <c r="L104" s="23">
        <v>2341211</v>
      </c>
    </row>
    <row r="105" spans="2:12" ht="19.5" customHeight="1" hidden="1">
      <c r="B105" s="23" t="s">
        <v>410</v>
      </c>
      <c r="C105" s="23" t="s">
        <v>255</v>
      </c>
      <c r="D105" s="23">
        <v>10835769</v>
      </c>
      <c r="E105" s="23">
        <v>1605022</v>
      </c>
      <c r="F105" s="23">
        <v>1605022</v>
      </c>
      <c r="G105" s="23">
        <v>2100049</v>
      </c>
      <c r="H105" s="23">
        <v>687107</v>
      </c>
      <c r="I105" s="23">
        <v>7890</v>
      </c>
      <c r="L105" s="23">
        <v>4142021</v>
      </c>
    </row>
    <row r="106" spans="2:12" ht="19.5" customHeight="1" hidden="1">
      <c r="B106" s="23" t="s">
        <v>411</v>
      </c>
      <c r="C106" s="23" t="s">
        <v>256</v>
      </c>
      <c r="D106" s="23">
        <v>4862223</v>
      </c>
      <c r="E106" s="23">
        <v>136405</v>
      </c>
      <c r="F106" s="23">
        <v>136405</v>
      </c>
      <c r="G106" s="23">
        <v>2484769</v>
      </c>
      <c r="H106" s="23">
        <v>666395</v>
      </c>
      <c r="I106" s="23">
        <v>156557</v>
      </c>
      <c r="L106" s="23">
        <v>2974744</v>
      </c>
    </row>
    <row r="107" spans="2:12" ht="19.5" customHeight="1" hidden="1">
      <c r="B107" s="23" t="s">
        <v>412</v>
      </c>
      <c r="C107" s="23" t="s">
        <v>257</v>
      </c>
      <c r="D107" s="23">
        <v>2747579</v>
      </c>
      <c r="E107" s="23">
        <v>228047</v>
      </c>
      <c r="F107" s="23">
        <v>228047</v>
      </c>
      <c r="G107" s="23">
        <v>1842289</v>
      </c>
      <c r="H107" s="23">
        <v>1128175</v>
      </c>
      <c r="I107" s="23">
        <v>5287</v>
      </c>
      <c r="L107" s="23">
        <v>2630751</v>
      </c>
    </row>
    <row r="108" spans="2:12" ht="19.5" customHeight="1" hidden="1">
      <c r="B108" s="23" t="s">
        <v>413</v>
      </c>
      <c r="C108" s="23" t="s">
        <v>258</v>
      </c>
      <c r="D108" s="23">
        <v>2781675</v>
      </c>
      <c r="E108" s="23">
        <v>18881</v>
      </c>
      <c r="F108" s="23">
        <v>18143</v>
      </c>
      <c r="G108" s="23">
        <v>2505481</v>
      </c>
      <c r="H108" s="23">
        <v>1102451</v>
      </c>
      <c r="I108" s="23">
        <v>102055</v>
      </c>
      <c r="L108" s="23">
        <v>2983060</v>
      </c>
    </row>
    <row r="109" spans="2:12" ht="19.5" customHeight="1" hidden="1">
      <c r="B109" s="23" t="s">
        <v>414</v>
      </c>
      <c r="C109" s="23" t="s">
        <v>259</v>
      </c>
      <c r="D109" s="23">
        <v>4354741</v>
      </c>
      <c r="E109" s="23">
        <v>4244076</v>
      </c>
      <c r="F109" s="23">
        <v>2595961</v>
      </c>
      <c r="G109" s="23">
        <v>5002900</v>
      </c>
      <c r="H109" s="23">
        <v>1544272</v>
      </c>
      <c r="I109" s="23">
        <v>371922</v>
      </c>
      <c r="L109" s="23">
        <v>3873606</v>
      </c>
    </row>
    <row r="110" spans="2:12" ht="19.5" customHeight="1" hidden="1">
      <c r="B110" s="23" t="s">
        <v>415</v>
      </c>
      <c r="C110" s="23" t="s">
        <v>260</v>
      </c>
      <c r="D110" s="23">
        <v>2864179</v>
      </c>
      <c r="E110" s="23">
        <v>64219</v>
      </c>
      <c r="F110" s="23">
        <v>0</v>
      </c>
      <c r="G110" s="23">
        <v>1886034</v>
      </c>
      <c r="H110" s="23">
        <v>827208</v>
      </c>
      <c r="I110" s="23">
        <v>9081</v>
      </c>
      <c r="L110" s="23">
        <v>1600965</v>
      </c>
    </row>
    <row r="111" spans="2:12" ht="19.5" customHeight="1" hidden="1">
      <c r="B111" s="23" t="s">
        <v>416</v>
      </c>
      <c r="C111" s="23" t="s">
        <v>261</v>
      </c>
      <c r="D111" s="23">
        <v>432796</v>
      </c>
      <c r="E111" s="23">
        <v>395</v>
      </c>
      <c r="F111" s="23">
        <v>395</v>
      </c>
      <c r="G111" s="23">
        <v>8523904</v>
      </c>
      <c r="H111" s="23">
        <v>4398574</v>
      </c>
      <c r="I111" s="23">
        <v>23450</v>
      </c>
      <c r="L111" s="23">
        <v>4175853</v>
      </c>
    </row>
    <row r="112" spans="2:12" ht="19.5" customHeight="1" hidden="1">
      <c r="B112" s="23" t="s">
        <v>417</v>
      </c>
      <c r="C112" s="23" t="s">
        <v>262</v>
      </c>
      <c r="D112" s="23">
        <v>4592057</v>
      </c>
      <c r="E112" s="23">
        <v>622035</v>
      </c>
      <c r="F112" s="23">
        <v>581046</v>
      </c>
      <c r="G112" s="23">
        <v>1354940</v>
      </c>
      <c r="H112" s="23">
        <v>50034</v>
      </c>
      <c r="I112" s="23">
        <v>665</v>
      </c>
      <c r="L112" s="23">
        <v>2298345</v>
      </c>
    </row>
    <row r="113" spans="2:12" ht="19.5" customHeight="1" hidden="1">
      <c r="B113" s="23" t="s">
        <v>418</v>
      </c>
      <c r="C113" s="23" t="s">
        <v>263</v>
      </c>
      <c r="D113" s="23">
        <v>6529501</v>
      </c>
      <c r="E113" s="23">
        <v>1758749</v>
      </c>
      <c r="F113" s="23">
        <v>1695998</v>
      </c>
      <c r="G113" s="23">
        <v>1623241</v>
      </c>
      <c r="H113" s="23">
        <v>735969</v>
      </c>
      <c r="I113" s="23">
        <v>92618</v>
      </c>
      <c r="L113" s="23">
        <v>4751303</v>
      </c>
    </row>
    <row r="114" spans="2:12" ht="19.5" customHeight="1" hidden="1">
      <c r="B114" s="23" t="s">
        <v>419</v>
      </c>
      <c r="C114" s="23" t="s">
        <v>264</v>
      </c>
      <c r="D114" s="23">
        <v>1888679</v>
      </c>
      <c r="E114" s="23">
        <v>14393</v>
      </c>
      <c r="F114" s="23">
        <v>13652</v>
      </c>
      <c r="G114" s="23">
        <v>873021</v>
      </c>
      <c r="H114" s="23">
        <v>486691</v>
      </c>
      <c r="I114" s="23">
        <v>44098</v>
      </c>
      <c r="L114" s="23">
        <v>930162</v>
      </c>
    </row>
    <row r="115" spans="2:12" ht="19.5" customHeight="1" hidden="1">
      <c r="B115" s="23" t="s">
        <v>420</v>
      </c>
      <c r="C115" s="23" t="s">
        <v>265</v>
      </c>
      <c r="D115" s="23">
        <v>4899346</v>
      </c>
      <c r="E115" s="23">
        <v>1227221</v>
      </c>
      <c r="F115" s="23">
        <v>1227221</v>
      </c>
      <c r="G115" s="23">
        <v>3332234</v>
      </c>
      <c r="H115" s="23">
        <v>1903011</v>
      </c>
      <c r="I115" s="23">
        <v>52912</v>
      </c>
      <c r="L115" s="23">
        <v>2714276</v>
      </c>
    </row>
    <row r="116" spans="2:12" ht="19.5" customHeight="1" hidden="1">
      <c r="B116" s="23" t="s">
        <v>421</v>
      </c>
      <c r="C116" s="23" t="s">
        <v>295</v>
      </c>
      <c r="D116" s="23">
        <v>4775179</v>
      </c>
      <c r="E116" s="23">
        <v>6000</v>
      </c>
      <c r="F116" s="23">
        <v>6000</v>
      </c>
      <c r="G116" s="23">
        <v>1676443</v>
      </c>
      <c r="H116" s="23">
        <v>805572</v>
      </c>
      <c r="I116" s="23">
        <v>312565</v>
      </c>
      <c r="L116" s="23">
        <v>2603710</v>
      </c>
    </row>
    <row r="117" spans="3:12" ht="19.5" customHeight="1" hidden="1">
      <c r="C117" s="23" t="s">
        <v>423</v>
      </c>
      <c r="D117" s="277">
        <f aca="true" t="shared" si="8" ref="D117:I117">SUM(D70:D116)</f>
        <v>238287735</v>
      </c>
      <c r="E117" s="277">
        <f t="shared" si="8"/>
        <v>26257959</v>
      </c>
      <c r="F117" s="277">
        <f t="shared" si="8"/>
        <v>21458502</v>
      </c>
      <c r="G117" s="277">
        <f t="shared" si="8"/>
        <v>78702984</v>
      </c>
      <c r="H117" s="277">
        <f t="shared" si="8"/>
        <v>32931435</v>
      </c>
      <c r="I117" s="277">
        <f t="shared" si="8"/>
        <v>5736966</v>
      </c>
      <c r="J117" s="277"/>
      <c r="K117" s="277"/>
      <c r="L117" s="277">
        <f>SUM(L70:L116)</f>
        <v>138784296</v>
      </c>
    </row>
    <row r="118" spans="3:12" ht="19.5" customHeight="1" hidden="1">
      <c r="C118" s="23" t="s">
        <v>267</v>
      </c>
      <c r="D118" s="277">
        <f aca="true" t="shared" si="9" ref="D118:I118">D69+D117</f>
        <v>885358488</v>
      </c>
      <c r="E118" s="277">
        <f t="shared" si="9"/>
        <v>127115599</v>
      </c>
      <c r="F118" s="277">
        <f t="shared" si="9"/>
        <v>111616522</v>
      </c>
      <c r="G118" s="277">
        <f t="shared" si="9"/>
        <v>170148690</v>
      </c>
      <c r="H118" s="277">
        <f t="shared" si="9"/>
        <v>60402438</v>
      </c>
      <c r="I118" s="277">
        <f t="shared" si="9"/>
        <v>11766904</v>
      </c>
      <c r="J118" s="277"/>
      <c r="K118" s="277"/>
      <c r="L118" s="277">
        <f>L69+L117</f>
        <v>473785132</v>
      </c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mergeCells count="65">
    <mergeCell ref="A1:A54"/>
    <mergeCell ref="C3:D3"/>
    <mergeCell ref="K3:N3"/>
    <mergeCell ref="K4:N5"/>
    <mergeCell ref="K6:N6"/>
    <mergeCell ref="K7:N7"/>
    <mergeCell ref="L8:N9"/>
    <mergeCell ref="L10:N11"/>
    <mergeCell ref="L12:N13"/>
    <mergeCell ref="L16:N17"/>
    <mergeCell ref="C40:D40"/>
    <mergeCell ref="L14:N15"/>
    <mergeCell ref="L18:N19"/>
    <mergeCell ref="C27:D27"/>
    <mergeCell ref="C30:D30"/>
    <mergeCell ref="C37:D37"/>
    <mergeCell ref="K43:L45"/>
    <mergeCell ref="C43:C45"/>
    <mergeCell ref="D43:D45"/>
    <mergeCell ref="E43:E45"/>
    <mergeCell ref="F43:F45"/>
    <mergeCell ref="M43:Q44"/>
    <mergeCell ref="C46:C48"/>
    <mergeCell ref="D46:D48"/>
    <mergeCell ref="E46:E48"/>
    <mergeCell ref="F46:F48"/>
    <mergeCell ref="G46:G48"/>
    <mergeCell ref="H46:I48"/>
    <mergeCell ref="J46:J48"/>
    <mergeCell ref="K46:L48"/>
    <mergeCell ref="M46:M48"/>
    <mergeCell ref="N46:N48"/>
    <mergeCell ref="O46:O48"/>
    <mergeCell ref="P46:P48"/>
    <mergeCell ref="Q46:Q48"/>
    <mergeCell ref="K49:L51"/>
    <mergeCell ref="C49:C51"/>
    <mergeCell ref="D49:D51"/>
    <mergeCell ref="E49:E51"/>
    <mergeCell ref="F49:F51"/>
    <mergeCell ref="P52:P54"/>
    <mergeCell ref="M49:M51"/>
    <mergeCell ref="N49:N51"/>
    <mergeCell ref="O49:O51"/>
    <mergeCell ref="P49:P51"/>
    <mergeCell ref="K52:L54"/>
    <mergeCell ref="Q49:Q51"/>
    <mergeCell ref="C52:C54"/>
    <mergeCell ref="D52:D54"/>
    <mergeCell ref="E52:E54"/>
    <mergeCell ref="F52:F54"/>
    <mergeCell ref="Q52:Q54"/>
    <mergeCell ref="M52:M54"/>
    <mergeCell ref="N52:N54"/>
    <mergeCell ref="O52:O54"/>
    <mergeCell ref="B24:B26"/>
    <mergeCell ref="G52:G54"/>
    <mergeCell ref="H52:I54"/>
    <mergeCell ref="J52:J54"/>
    <mergeCell ref="G49:G51"/>
    <mergeCell ref="H49:I51"/>
    <mergeCell ref="J49:J51"/>
    <mergeCell ref="G43:G45"/>
    <mergeCell ref="H43:I45"/>
    <mergeCell ref="J43:J44"/>
  </mergeCells>
  <printOptions/>
  <pageMargins left="0" right="0.3937007874015748" top="0.6299212598425197" bottom="0.6299212598425197" header="0" footer="0"/>
  <pageSetup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7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3" width="12.625" style="215" customWidth="1"/>
    <col min="4" max="4" width="13.875" style="215" customWidth="1"/>
    <col min="5" max="9" width="14.00390625" style="215" customWidth="1"/>
    <col min="10" max="17" width="12.625" style="215" customWidth="1"/>
    <col min="18" max="16384" width="9.00390625" style="215" customWidth="1"/>
  </cols>
  <sheetData>
    <row r="1" ht="14.25">
      <c r="A1" s="215" t="s">
        <v>431</v>
      </c>
    </row>
    <row r="2" spans="2:9" ht="15.75" customHeight="1" thickBot="1">
      <c r="B2" s="625" t="s">
        <v>430</v>
      </c>
      <c r="C2" s="625"/>
      <c r="D2" s="625" t="s">
        <v>283</v>
      </c>
      <c r="E2" s="625"/>
      <c r="F2" s="627" t="s">
        <v>286</v>
      </c>
      <c r="G2" s="627"/>
      <c r="H2" s="625" t="s">
        <v>287</v>
      </c>
      <c r="I2" s="625"/>
    </row>
    <row r="3" spans="1:17" s="220" customFormat="1" ht="29.25" thickTop="1">
      <c r="A3" s="246"/>
      <c r="B3" s="217" t="s">
        <v>268</v>
      </c>
      <c r="C3" s="218" t="s">
        <v>269</v>
      </c>
      <c r="D3" s="217" t="s">
        <v>268</v>
      </c>
      <c r="E3" s="218" t="s">
        <v>269</v>
      </c>
      <c r="F3" s="217" t="s">
        <v>268</v>
      </c>
      <c r="G3" s="218" t="s">
        <v>269</v>
      </c>
      <c r="H3" s="217" t="s">
        <v>268</v>
      </c>
      <c r="I3" s="218" t="s">
        <v>269</v>
      </c>
      <c r="J3" s="218" t="s">
        <v>270</v>
      </c>
      <c r="K3" s="218" t="s">
        <v>271</v>
      </c>
      <c r="L3" s="218" t="s">
        <v>272</v>
      </c>
      <c r="M3" s="218" t="s">
        <v>273</v>
      </c>
      <c r="N3" s="218" t="s">
        <v>274</v>
      </c>
      <c r="O3" s="218" t="s">
        <v>275</v>
      </c>
      <c r="P3" s="218" t="s">
        <v>276</v>
      </c>
      <c r="Q3" s="219" t="s">
        <v>277</v>
      </c>
    </row>
    <row r="4" spans="1:17" s="224" customFormat="1" ht="15" thickBot="1">
      <c r="A4" s="247" t="s">
        <v>284</v>
      </c>
      <c r="B4" s="221" t="s">
        <v>278</v>
      </c>
      <c r="C4" s="222" t="s">
        <v>200</v>
      </c>
      <c r="D4" s="221" t="s">
        <v>278</v>
      </c>
      <c r="E4" s="222" t="s">
        <v>200</v>
      </c>
      <c r="F4" s="626" t="s">
        <v>288</v>
      </c>
      <c r="G4" s="626"/>
      <c r="H4" s="626"/>
      <c r="I4" s="626"/>
      <c r="J4" s="222" t="s">
        <v>201</v>
      </c>
      <c r="K4" s="222" t="s">
        <v>202</v>
      </c>
      <c r="L4" s="222" t="s">
        <v>203</v>
      </c>
      <c r="M4" s="222" t="s">
        <v>204</v>
      </c>
      <c r="N4" s="222" t="s">
        <v>205</v>
      </c>
      <c r="O4" s="222" t="s">
        <v>206</v>
      </c>
      <c r="P4" s="222" t="s">
        <v>207</v>
      </c>
      <c r="Q4" s="223" t="s">
        <v>208</v>
      </c>
    </row>
    <row r="5" spans="1:17" ht="21" customHeight="1">
      <c r="A5" s="225" t="s">
        <v>209</v>
      </c>
      <c r="B5" s="282">
        <v>91184039</v>
      </c>
      <c r="C5" s="282">
        <v>89064370</v>
      </c>
      <c r="D5" s="226">
        <v>83867302</v>
      </c>
      <c r="E5" s="227">
        <v>80658606</v>
      </c>
      <c r="F5" s="227">
        <v>83475000</v>
      </c>
      <c r="G5" s="227">
        <v>79381308</v>
      </c>
      <c r="H5" s="227">
        <v>87216121</v>
      </c>
      <c r="I5" s="227">
        <v>82490200</v>
      </c>
      <c r="J5" s="227">
        <v>2119669</v>
      </c>
      <c r="K5" s="227">
        <v>345813</v>
      </c>
      <c r="L5" s="227">
        <v>1773856</v>
      </c>
      <c r="M5" s="227">
        <v>-1249547</v>
      </c>
      <c r="N5" s="227">
        <v>4424</v>
      </c>
      <c r="O5" s="227">
        <v>0</v>
      </c>
      <c r="P5" s="227">
        <v>1000000</v>
      </c>
      <c r="Q5" s="228">
        <v>-2245123</v>
      </c>
    </row>
    <row r="6" spans="1:17" ht="21" customHeight="1">
      <c r="A6" s="229" t="s">
        <v>210</v>
      </c>
      <c r="B6" s="283">
        <v>43726790</v>
      </c>
      <c r="C6" s="283">
        <v>42415865</v>
      </c>
      <c r="D6" s="230">
        <v>44659518</v>
      </c>
      <c r="E6" s="231">
        <v>43616714</v>
      </c>
      <c r="F6" s="227">
        <v>44645510</v>
      </c>
      <c r="G6" s="227">
        <v>44004435</v>
      </c>
      <c r="H6" s="227">
        <v>44138444</v>
      </c>
      <c r="I6" s="227">
        <v>42895674</v>
      </c>
      <c r="J6" s="227">
        <v>1310925</v>
      </c>
      <c r="K6" s="231">
        <v>498</v>
      </c>
      <c r="L6" s="231">
        <v>1310427</v>
      </c>
      <c r="M6" s="231">
        <v>277680</v>
      </c>
      <c r="N6" s="231">
        <v>2651</v>
      </c>
      <c r="O6" s="231">
        <v>315</v>
      </c>
      <c r="P6" s="231">
        <v>513584</v>
      </c>
      <c r="Q6" s="232">
        <v>-232938</v>
      </c>
    </row>
    <row r="7" spans="1:17" ht="21" customHeight="1">
      <c r="A7" s="229" t="s">
        <v>211</v>
      </c>
      <c r="B7" s="283">
        <v>99030439</v>
      </c>
      <c r="C7" s="283">
        <v>95866195</v>
      </c>
      <c r="D7" s="230">
        <v>100397413</v>
      </c>
      <c r="E7" s="231">
        <v>97249060</v>
      </c>
      <c r="F7" s="227">
        <v>105809660</v>
      </c>
      <c r="G7" s="227">
        <v>102171833</v>
      </c>
      <c r="H7" s="227">
        <v>103556850</v>
      </c>
      <c r="I7" s="227">
        <v>99774590</v>
      </c>
      <c r="J7" s="227">
        <v>3164244</v>
      </c>
      <c r="K7" s="231">
        <v>665765</v>
      </c>
      <c r="L7" s="231">
        <v>2498479</v>
      </c>
      <c r="M7" s="231">
        <v>-182213</v>
      </c>
      <c r="N7" s="231">
        <v>2415723</v>
      </c>
      <c r="O7" s="231">
        <v>139675</v>
      </c>
      <c r="P7" s="231">
        <v>2840000</v>
      </c>
      <c r="Q7" s="232">
        <v>-466815</v>
      </c>
    </row>
    <row r="8" spans="1:17" ht="21" customHeight="1">
      <c r="A8" s="229" t="s">
        <v>212</v>
      </c>
      <c r="B8" s="283">
        <v>128134538</v>
      </c>
      <c r="C8" s="283">
        <v>126122536</v>
      </c>
      <c r="D8" s="230">
        <v>126140611</v>
      </c>
      <c r="E8" s="231">
        <v>122847551</v>
      </c>
      <c r="F8" s="227">
        <v>123915877</v>
      </c>
      <c r="G8" s="227">
        <v>120394518</v>
      </c>
      <c r="H8" s="227">
        <v>125857477</v>
      </c>
      <c r="I8" s="227">
        <v>122282908</v>
      </c>
      <c r="J8" s="227">
        <v>2012002</v>
      </c>
      <c r="K8" s="231">
        <v>495720</v>
      </c>
      <c r="L8" s="231">
        <v>1516282</v>
      </c>
      <c r="M8" s="231">
        <v>-1286199</v>
      </c>
      <c r="N8" s="231">
        <v>3652156</v>
      </c>
      <c r="O8" s="231">
        <v>0</v>
      </c>
      <c r="P8" s="231">
        <v>3869838</v>
      </c>
      <c r="Q8" s="232">
        <v>-1503881</v>
      </c>
    </row>
    <row r="9" spans="1:17" ht="21" customHeight="1">
      <c r="A9" s="229" t="s">
        <v>213</v>
      </c>
      <c r="B9" s="283">
        <v>27445853</v>
      </c>
      <c r="C9" s="283">
        <v>25974640</v>
      </c>
      <c r="D9" s="230">
        <v>25589881</v>
      </c>
      <c r="E9" s="231">
        <v>24471148</v>
      </c>
      <c r="F9" s="227">
        <v>25170399</v>
      </c>
      <c r="G9" s="227">
        <v>24136636</v>
      </c>
      <c r="H9" s="227">
        <v>24163650</v>
      </c>
      <c r="I9" s="227">
        <v>23360639</v>
      </c>
      <c r="J9" s="227">
        <v>1471213</v>
      </c>
      <c r="K9" s="231">
        <v>76844</v>
      </c>
      <c r="L9" s="231">
        <v>1394369</v>
      </c>
      <c r="M9" s="231">
        <v>301200</v>
      </c>
      <c r="N9" s="231">
        <v>625102</v>
      </c>
      <c r="O9" s="231">
        <v>366238</v>
      </c>
      <c r="P9" s="231">
        <v>1109859</v>
      </c>
      <c r="Q9" s="232">
        <v>182681</v>
      </c>
    </row>
    <row r="10" spans="1:17" ht="21" customHeight="1">
      <c r="A10" s="229" t="s">
        <v>214</v>
      </c>
      <c r="B10" s="283">
        <v>25869822</v>
      </c>
      <c r="C10" s="283">
        <v>24755379</v>
      </c>
      <c r="D10" s="230">
        <v>26519276</v>
      </c>
      <c r="E10" s="231">
        <v>25425846</v>
      </c>
      <c r="F10" s="227">
        <v>26558532</v>
      </c>
      <c r="G10" s="227">
        <v>25378549</v>
      </c>
      <c r="H10" s="227">
        <v>26690483</v>
      </c>
      <c r="I10" s="227">
        <v>25754285</v>
      </c>
      <c r="J10" s="227">
        <v>1114443</v>
      </c>
      <c r="K10" s="231">
        <v>27409</v>
      </c>
      <c r="L10" s="231">
        <v>1087034</v>
      </c>
      <c r="M10" s="231">
        <v>46900</v>
      </c>
      <c r="N10" s="231">
        <v>352758</v>
      </c>
      <c r="O10" s="231">
        <v>171</v>
      </c>
      <c r="P10" s="231">
        <v>0</v>
      </c>
      <c r="Q10" s="232">
        <v>399829</v>
      </c>
    </row>
    <row r="11" spans="1:17" ht="21" customHeight="1">
      <c r="A11" s="229" t="s">
        <v>215</v>
      </c>
      <c r="B11" s="283">
        <v>23173330</v>
      </c>
      <c r="C11" s="283">
        <v>22661225</v>
      </c>
      <c r="D11" s="230">
        <v>23097625</v>
      </c>
      <c r="E11" s="231">
        <v>22555275</v>
      </c>
      <c r="F11" s="227">
        <v>24775371</v>
      </c>
      <c r="G11" s="227">
        <v>24001204</v>
      </c>
      <c r="H11" s="227">
        <v>24469958</v>
      </c>
      <c r="I11" s="227">
        <v>23852253</v>
      </c>
      <c r="J11" s="227">
        <v>512105</v>
      </c>
      <c r="K11" s="231">
        <v>10906</v>
      </c>
      <c r="L11" s="231">
        <v>501199</v>
      </c>
      <c r="M11" s="231">
        <v>2231</v>
      </c>
      <c r="N11" s="231">
        <v>3592</v>
      </c>
      <c r="O11" s="231">
        <v>1289</v>
      </c>
      <c r="P11" s="231">
        <v>0</v>
      </c>
      <c r="Q11" s="232">
        <v>7112</v>
      </c>
    </row>
    <row r="12" spans="1:17" ht="21" customHeight="1">
      <c r="A12" s="229" t="s">
        <v>216</v>
      </c>
      <c r="B12" s="283">
        <v>14089343</v>
      </c>
      <c r="C12" s="283">
        <v>13631456</v>
      </c>
      <c r="D12" s="230">
        <v>13853210</v>
      </c>
      <c r="E12" s="231">
        <v>13381350</v>
      </c>
      <c r="F12" s="227">
        <v>18855707</v>
      </c>
      <c r="G12" s="227">
        <v>18273087</v>
      </c>
      <c r="H12" s="227">
        <v>12658120</v>
      </c>
      <c r="I12" s="227">
        <v>12223650</v>
      </c>
      <c r="J12" s="227">
        <v>457887</v>
      </c>
      <c r="K12" s="231">
        <v>0</v>
      </c>
      <c r="L12" s="231">
        <v>457887</v>
      </c>
      <c r="M12" s="231">
        <v>-13921</v>
      </c>
      <c r="N12" s="231">
        <v>17695</v>
      </c>
      <c r="O12" s="231">
        <v>0</v>
      </c>
      <c r="P12" s="231">
        <v>679379</v>
      </c>
      <c r="Q12" s="232">
        <v>-675605</v>
      </c>
    </row>
    <row r="13" spans="1:17" ht="21" customHeight="1">
      <c r="A13" s="229" t="s">
        <v>217</v>
      </c>
      <c r="B13" s="283">
        <v>25689104</v>
      </c>
      <c r="C13" s="283">
        <v>24959592</v>
      </c>
      <c r="D13" s="230">
        <v>24483869</v>
      </c>
      <c r="E13" s="231">
        <v>24136087</v>
      </c>
      <c r="F13" s="227">
        <v>26603022</v>
      </c>
      <c r="G13" s="227">
        <v>25953899</v>
      </c>
      <c r="H13" s="227">
        <v>27912042</v>
      </c>
      <c r="I13" s="227">
        <v>27276232</v>
      </c>
      <c r="J13" s="227">
        <v>729512</v>
      </c>
      <c r="K13" s="231">
        <v>85945</v>
      </c>
      <c r="L13" s="231">
        <v>643567</v>
      </c>
      <c r="M13" s="231">
        <v>390881</v>
      </c>
      <c r="N13" s="231">
        <v>137720</v>
      </c>
      <c r="O13" s="231">
        <v>0</v>
      </c>
      <c r="P13" s="231">
        <v>1046400</v>
      </c>
      <c r="Q13" s="232">
        <v>-517799</v>
      </c>
    </row>
    <row r="14" spans="1:17" ht="21" customHeight="1">
      <c r="A14" s="229" t="s">
        <v>218</v>
      </c>
      <c r="B14" s="283">
        <v>19816020</v>
      </c>
      <c r="C14" s="283">
        <v>19224643</v>
      </c>
      <c r="D14" s="230">
        <v>20174967</v>
      </c>
      <c r="E14" s="231">
        <v>19771299</v>
      </c>
      <c r="F14" s="227">
        <v>20354491</v>
      </c>
      <c r="G14" s="227">
        <v>19968705</v>
      </c>
      <c r="H14" s="227">
        <v>21460138</v>
      </c>
      <c r="I14" s="227">
        <v>21342161</v>
      </c>
      <c r="J14" s="227">
        <v>591377</v>
      </c>
      <c r="K14" s="231">
        <v>53953</v>
      </c>
      <c r="L14" s="231">
        <v>537424</v>
      </c>
      <c r="M14" s="231">
        <v>152296</v>
      </c>
      <c r="N14" s="231">
        <v>8526</v>
      </c>
      <c r="O14" s="231">
        <v>108177</v>
      </c>
      <c r="P14" s="231">
        <v>0</v>
      </c>
      <c r="Q14" s="232">
        <v>268999</v>
      </c>
    </row>
    <row r="15" spans="1:17" ht="21" customHeight="1">
      <c r="A15" s="229" t="s">
        <v>219</v>
      </c>
      <c r="B15" s="283">
        <v>29902424</v>
      </c>
      <c r="C15" s="283">
        <v>29012810</v>
      </c>
      <c r="D15" s="230">
        <v>29717254</v>
      </c>
      <c r="E15" s="231">
        <v>28835251</v>
      </c>
      <c r="F15" s="227">
        <v>30190967</v>
      </c>
      <c r="G15" s="227">
        <v>29332391</v>
      </c>
      <c r="H15" s="227">
        <v>28249317</v>
      </c>
      <c r="I15" s="227">
        <v>26753080</v>
      </c>
      <c r="J15" s="227">
        <v>889614</v>
      </c>
      <c r="K15" s="231">
        <v>109025</v>
      </c>
      <c r="L15" s="231">
        <v>780589</v>
      </c>
      <c r="M15" s="231">
        <v>-25813</v>
      </c>
      <c r="N15" s="231">
        <v>454661</v>
      </c>
      <c r="O15" s="231">
        <v>179</v>
      </c>
      <c r="P15" s="231">
        <v>824900</v>
      </c>
      <c r="Q15" s="232">
        <v>-395873</v>
      </c>
    </row>
    <row r="16" spans="1:17" ht="21" customHeight="1">
      <c r="A16" s="229" t="s">
        <v>220</v>
      </c>
      <c r="B16" s="283">
        <v>26029793</v>
      </c>
      <c r="C16" s="283">
        <v>25208998</v>
      </c>
      <c r="D16" s="230">
        <v>24623956</v>
      </c>
      <c r="E16" s="231">
        <v>23767087</v>
      </c>
      <c r="F16" s="227">
        <v>24220563</v>
      </c>
      <c r="G16" s="227">
        <v>23692392</v>
      </c>
      <c r="H16" s="227">
        <v>26187961</v>
      </c>
      <c r="I16" s="227">
        <v>25381555</v>
      </c>
      <c r="J16" s="227">
        <v>820795</v>
      </c>
      <c r="K16" s="231">
        <v>44614</v>
      </c>
      <c r="L16" s="231">
        <v>776181</v>
      </c>
      <c r="M16" s="231">
        <v>-46144</v>
      </c>
      <c r="N16" s="231">
        <v>2705</v>
      </c>
      <c r="O16" s="231">
        <v>0</v>
      </c>
      <c r="P16" s="231">
        <v>782258</v>
      </c>
      <c r="Q16" s="232">
        <v>-825697</v>
      </c>
    </row>
    <row r="17" spans="1:17" ht="21" customHeight="1" thickBot="1">
      <c r="A17" s="233" t="s">
        <v>279</v>
      </c>
      <c r="B17" s="284">
        <v>13735504</v>
      </c>
      <c r="C17" s="284">
        <v>13316507</v>
      </c>
      <c r="D17" s="234">
        <v>11121196</v>
      </c>
      <c r="E17" s="235">
        <v>10798547</v>
      </c>
      <c r="F17" s="236">
        <v>10691207</v>
      </c>
      <c r="G17" s="236">
        <v>10311533</v>
      </c>
      <c r="H17" s="236">
        <v>11193697</v>
      </c>
      <c r="I17" s="236">
        <v>10786631</v>
      </c>
      <c r="J17" s="236">
        <v>418997</v>
      </c>
      <c r="K17" s="235">
        <v>27214</v>
      </c>
      <c r="L17" s="235">
        <v>391783</v>
      </c>
      <c r="M17" s="235">
        <v>126776</v>
      </c>
      <c r="N17" s="235">
        <v>62173</v>
      </c>
      <c r="O17" s="235">
        <v>260209</v>
      </c>
      <c r="P17" s="235">
        <v>0</v>
      </c>
      <c r="Q17" s="237">
        <v>449158</v>
      </c>
    </row>
    <row r="18" spans="1:17" ht="21" customHeight="1" thickBot="1">
      <c r="A18" s="239" t="s">
        <v>281</v>
      </c>
      <c r="B18" s="240">
        <f>SUM(B5:B17)</f>
        <v>567826999</v>
      </c>
      <c r="C18" s="240">
        <f>SUM(C5:C17)</f>
        <v>552214216</v>
      </c>
      <c r="D18" s="240">
        <f>SUM(D5:D17)</f>
        <v>554246078</v>
      </c>
      <c r="E18" s="240">
        <f aca="true" t="shared" si="0" ref="E18:Q18">SUM(E5:E17)</f>
        <v>537513821</v>
      </c>
      <c r="F18" s="240">
        <f t="shared" si="0"/>
        <v>565266306</v>
      </c>
      <c r="G18" s="240">
        <f>SUM(G5:G17)</f>
        <v>547000490</v>
      </c>
      <c r="H18" s="240">
        <f>SUM(H5:H17)</f>
        <v>563754258</v>
      </c>
      <c r="I18" s="240">
        <f>SUM(I5:I17)</f>
        <v>544173858</v>
      </c>
      <c r="J18" s="240">
        <f t="shared" si="0"/>
        <v>15612783</v>
      </c>
      <c r="K18" s="240">
        <f t="shared" si="0"/>
        <v>1943706</v>
      </c>
      <c r="L18" s="240">
        <f t="shared" si="0"/>
        <v>13669077</v>
      </c>
      <c r="M18" s="240">
        <f t="shared" si="0"/>
        <v>-1505873</v>
      </c>
      <c r="N18" s="240">
        <f t="shared" si="0"/>
        <v>7739886</v>
      </c>
      <c r="O18" s="240">
        <f t="shared" si="0"/>
        <v>876253</v>
      </c>
      <c r="P18" s="240">
        <f t="shared" si="0"/>
        <v>12666218</v>
      </c>
      <c r="Q18" s="241">
        <f t="shared" si="0"/>
        <v>-5555952</v>
      </c>
    </row>
    <row r="19" spans="1:17" ht="21" customHeight="1">
      <c r="A19" s="225" t="s">
        <v>221</v>
      </c>
      <c r="B19" s="282">
        <v>4133379</v>
      </c>
      <c r="C19" s="282">
        <v>3933754</v>
      </c>
      <c r="D19" s="226">
        <v>4166304</v>
      </c>
      <c r="E19" s="227">
        <v>4070745</v>
      </c>
      <c r="F19" s="227">
        <v>4233906</v>
      </c>
      <c r="G19" s="227">
        <v>4124816</v>
      </c>
      <c r="H19" s="227">
        <v>5118351</v>
      </c>
      <c r="I19" s="227">
        <v>4991313</v>
      </c>
      <c r="J19" s="227">
        <v>199625</v>
      </c>
      <c r="K19" s="227">
        <v>9333</v>
      </c>
      <c r="L19" s="227">
        <v>190292</v>
      </c>
      <c r="M19" s="227">
        <v>105764</v>
      </c>
      <c r="N19" s="227">
        <v>649</v>
      </c>
      <c r="O19" s="227">
        <v>0</v>
      </c>
      <c r="P19" s="227">
        <v>0</v>
      </c>
      <c r="Q19" s="228">
        <v>106413</v>
      </c>
    </row>
    <row r="20" spans="1:17" ht="21" customHeight="1">
      <c r="A20" s="229" t="s">
        <v>222</v>
      </c>
      <c r="B20" s="283">
        <v>4618903</v>
      </c>
      <c r="C20" s="283">
        <v>4460964</v>
      </c>
      <c r="D20" s="230">
        <v>3917137</v>
      </c>
      <c r="E20" s="231">
        <v>3812905</v>
      </c>
      <c r="F20" s="227">
        <v>4103605</v>
      </c>
      <c r="G20" s="227">
        <v>3970613</v>
      </c>
      <c r="H20" s="227">
        <v>5174236</v>
      </c>
      <c r="I20" s="227">
        <v>5037973</v>
      </c>
      <c r="J20" s="227">
        <v>157939</v>
      </c>
      <c r="K20" s="231">
        <v>0</v>
      </c>
      <c r="L20" s="231">
        <v>157939</v>
      </c>
      <c r="M20" s="231">
        <v>54121</v>
      </c>
      <c r="N20" s="231">
        <v>53745</v>
      </c>
      <c r="O20" s="231">
        <v>9997</v>
      </c>
      <c r="P20" s="231">
        <v>80340</v>
      </c>
      <c r="Q20" s="232">
        <v>37523</v>
      </c>
    </row>
    <row r="21" spans="1:17" ht="21" customHeight="1">
      <c r="A21" s="229" t="s">
        <v>223</v>
      </c>
      <c r="B21" s="283">
        <v>5141731</v>
      </c>
      <c r="C21" s="283">
        <v>5061854</v>
      </c>
      <c r="D21" s="230">
        <v>5608062</v>
      </c>
      <c r="E21" s="231">
        <v>5499636</v>
      </c>
      <c r="F21" s="227">
        <v>5132556</v>
      </c>
      <c r="G21" s="227">
        <v>4995059</v>
      </c>
      <c r="H21" s="227">
        <v>5750599</v>
      </c>
      <c r="I21" s="227">
        <v>5636278</v>
      </c>
      <c r="J21" s="227">
        <v>79877</v>
      </c>
      <c r="K21" s="231">
        <v>0</v>
      </c>
      <c r="L21" s="231">
        <v>79877</v>
      </c>
      <c r="M21" s="231">
        <v>-28549</v>
      </c>
      <c r="N21" s="231">
        <v>1004</v>
      </c>
      <c r="O21" s="231">
        <v>0</v>
      </c>
      <c r="P21" s="231">
        <v>102200</v>
      </c>
      <c r="Q21" s="232">
        <v>-129745</v>
      </c>
    </row>
    <row r="22" spans="1:17" ht="21" customHeight="1">
      <c r="A22" s="229" t="s">
        <v>224</v>
      </c>
      <c r="B22" s="283">
        <v>2593207</v>
      </c>
      <c r="C22" s="283">
        <v>2504326</v>
      </c>
      <c r="D22" s="230">
        <v>2495601</v>
      </c>
      <c r="E22" s="231">
        <v>2422171</v>
      </c>
      <c r="F22" s="227">
        <v>2367894</v>
      </c>
      <c r="G22" s="227">
        <v>2261592</v>
      </c>
      <c r="H22" s="227">
        <v>2346706</v>
      </c>
      <c r="I22" s="227">
        <v>2251527</v>
      </c>
      <c r="J22" s="227">
        <v>88881</v>
      </c>
      <c r="K22" s="231">
        <v>21300</v>
      </c>
      <c r="L22" s="231">
        <v>67581</v>
      </c>
      <c r="M22" s="231">
        <v>-494</v>
      </c>
      <c r="N22" s="231">
        <v>1307</v>
      </c>
      <c r="O22" s="231">
        <v>0</v>
      </c>
      <c r="P22" s="231">
        <v>157000</v>
      </c>
      <c r="Q22" s="232">
        <v>-156187</v>
      </c>
    </row>
    <row r="23" spans="1:17" ht="21" customHeight="1">
      <c r="A23" s="229" t="s">
        <v>225</v>
      </c>
      <c r="B23" s="283">
        <v>3646150</v>
      </c>
      <c r="C23" s="283">
        <v>3542000</v>
      </c>
      <c r="D23" s="230">
        <v>3614467</v>
      </c>
      <c r="E23" s="231">
        <v>3460809</v>
      </c>
      <c r="F23" s="227">
        <v>3605937</v>
      </c>
      <c r="G23" s="227">
        <v>3436502</v>
      </c>
      <c r="H23" s="227">
        <v>3665066</v>
      </c>
      <c r="I23" s="227">
        <v>3481735</v>
      </c>
      <c r="J23" s="227">
        <v>104150</v>
      </c>
      <c r="K23" s="231">
        <v>649</v>
      </c>
      <c r="L23" s="231">
        <v>103501</v>
      </c>
      <c r="M23" s="231">
        <v>-50157</v>
      </c>
      <c r="N23" s="231">
        <v>81434</v>
      </c>
      <c r="O23" s="231">
        <v>0</v>
      </c>
      <c r="P23" s="231">
        <v>80000</v>
      </c>
      <c r="Q23" s="232">
        <v>-48723</v>
      </c>
    </row>
    <row r="24" spans="1:17" ht="21" customHeight="1">
      <c r="A24" s="229" t="s">
        <v>226</v>
      </c>
      <c r="B24" s="283">
        <v>4138574</v>
      </c>
      <c r="C24" s="283">
        <v>4077581</v>
      </c>
      <c r="D24" s="230">
        <v>4521482</v>
      </c>
      <c r="E24" s="231">
        <v>4420466</v>
      </c>
      <c r="F24" s="227">
        <v>4207067</v>
      </c>
      <c r="G24" s="227">
        <v>4097775</v>
      </c>
      <c r="H24" s="227">
        <v>4546620</v>
      </c>
      <c r="I24" s="227">
        <v>4459275</v>
      </c>
      <c r="J24" s="227">
        <v>60993</v>
      </c>
      <c r="K24" s="231">
        <v>555</v>
      </c>
      <c r="L24" s="231">
        <v>60438</v>
      </c>
      <c r="M24" s="231">
        <v>-37262</v>
      </c>
      <c r="N24" s="231">
        <v>49097</v>
      </c>
      <c r="O24" s="231">
        <v>0</v>
      </c>
      <c r="P24" s="231">
        <v>116264</v>
      </c>
      <c r="Q24" s="232">
        <v>-104429</v>
      </c>
    </row>
    <row r="25" spans="1:17" ht="21" customHeight="1">
      <c r="A25" s="229" t="s">
        <v>227</v>
      </c>
      <c r="B25" s="283">
        <v>3919483</v>
      </c>
      <c r="C25" s="283">
        <v>3851065</v>
      </c>
      <c r="D25" s="230">
        <v>3633272</v>
      </c>
      <c r="E25" s="231">
        <v>3567848</v>
      </c>
      <c r="F25" s="227">
        <v>3529703</v>
      </c>
      <c r="G25" s="227">
        <v>3480673</v>
      </c>
      <c r="H25" s="227">
        <v>3713168</v>
      </c>
      <c r="I25" s="227">
        <v>3601692</v>
      </c>
      <c r="J25" s="227">
        <v>68418</v>
      </c>
      <c r="K25" s="231">
        <v>0</v>
      </c>
      <c r="L25" s="231">
        <v>68418</v>
      </c>
      <c r="M25" s="231">
        <v>9055</v>
      </c>
      <c r="N25" s="231">
        <v>30326</v>
      </c>
      <c r="O25" s="231">
        <v>0</v>
      </c>
      <c r="P25" s="231">
        <v>60000</v>
      </c>
      <c r="Q25" s="232">
        <v>-20619</v>
      </c>
    </row>
    <row r="26" spans="1:17" ht="21" customHeight="1">
      <c r="A26" s="229" t="s">
        <v>228</v>
      </c>
      <c r="B26" s="283">
        <v>4314743</v>
      </c>
      <c r="C26" s="283">
        <v>4120226</v>
      </c>
      <c r="D26" s="230">
        <v>4350415</v>
      </c>
      <c r="E26" s="231">
        <v>4135739</v>
      </c>
      <c r="F26" s="227">
        <v>4493804</v>
      </c>
      <c r="G26" s="227">
        <v>4310022</v>
      </c>
      <c r="H26" s="227">
        <v>4867604</v>
      </c>
      <c r="I26" s="227">
        <v>4718985</v>
      </c>
      <c r="J26" s="227">
        <v>194517</v>
      </c>
      <c r="K26" s="231">
        <v>1260</v>
      </c>
      <c r="L26" s="231">
        <v>193257</v>
      </c>
      <c r="M26" s="231">
        <v>-21419</v>
      </c>
      <c r="N26" s="231">
        <v>1467</v>
      </c>
      <c r="O26" s="231">
        <v>0</v>
      </c>
      <c r="P26" s="231">
        <v>100000</v>
      </c>
      <c r="Q26" s="232">
        <v>-119952</v>
      </c>
    </row>
    <row r="27" spans="1:17" ht="21" customHeight="1">
      <c r="A27" s="229" t="s">
        <v>229</v>
      </c>
      <c r="B27" s="283">
        <v>1824522</v>
      </c>
      <c r="C27" s="283">
        <v>1727820</v>
      </c>
      <c r="D27" s="230">
        <v>1636637</v>
      </c>
      <c r="E27" s="231">
        <v>1555683</v>
      </c>
      <c r="F27" s="227">
        <v>1608039</v>
      </c>
      <c r="G27" s="227">
        <v>1512611</v>
      </c>
      <c r="H27" s="227">
        <v>1635477</v>
      </c>
      <c r="I27" s="227">
        <v>1561049</v>
      </c>
      <c r="J27" s="227">
        <v>96702</v>
      </c>
      <c r="K27" s="231">
        <v>0</v>
      </c>
      <c r="L27" s="231">
        <v>96702</v>
      </c>
      <c r="M27" s="231">
        <v>15949</v>
      </c>
      <c r="N27" s="231">
        <v>640</v>
      </c>
      <c r="O27" s="231">
        <v>0</v>
      </c>
      <c r="P27" s="231">
        <v>0</v>
      </c>
      <c r="Q27" s="232">
        <v>16589</v>
      </c>
    </row>
    <row r="28" spans="1:17" ht="21" customHeight="1">
      <c r="A28" s="229" t="s">
        <v>230</v>
      </c>
      <c r="B28" s="283">
        <v>4701555</v>
      </c>
      <c r="C28" s="283">
        <v>4341650</v>
      </c>
      <c r="D28" s="230">
        <v>4771792</v>
      </c>
      <c r="E28" s="231">
        <v>4684264</v>
      </c>
      <c r="F28" s="227">
        <v>4298451</v>
      </c>
      <c r="G28" s="227">
        <v>4190079</v>
      </c>
      <c r="H28" s="227">
        <v>4250208</v>
      </c>
      <c r="I28" s="227">
        <v>4196526</v>
      </c>
      <c r="J28" s="227">
        <v>359905</v>
      </c>
      <c r="K28" s="231">
        <v>287903</v>
      </c>
      <c r="L28" s="231">
        <v>72002</v>
      </c>
      <c r="M28" s="231">
        <v>-15526</v>
      </c>
      <c r="N28" s="231">
        <v>1935</v>
      </c>
      <c r="O28" s="231">
        <v>160900</v>
      </c>
      <c r="P28" s="231">
        <v>0</v>
      </c>
      <c r="Q28" s="232">
        <v>147309</v>
      </c>
    </row>
    <row r="29" spans="1:17" ht="21" customHeight="1">
      <c r="A29" s="229" t="s">
        <v>280</v>
      </c>
      <c r="B29" s="283">
        <v>12904794</v>
      </c>
      <c r="C29" s="283">
        <v>12658813</v>
      </c>
      <c r="D29" s="230">
        <v>13368347</v>
      </c>
      <c r="E29" s="231">
        <v>13037221</v>
      </c>
      <c r="F29" s="227">
        <v>14119128</v>
      </c>
      <c r="G29" s="227">
        <v>13874591</v>
      </c>
      <c r="H29" s="227">
        <v>14134585</v>
      </c>
      <c r="I29" s="227">
        <v>13788828</v>
      </c>
      <c r="J29" s="227">
        <v>245981</v>
      </c>
      <c r="K29" s="231">
        <v>18843</v>
      </c>
      <c r="L29" s="231">
        <v>227138</v>
      </c>
      <c r="M29" s="231">
        <v>-92851</v>
      </c>
      <c r="N29" s="231">
        <v>160647</v>
      </c>
      <c r="O29" s="231">
        <v>20735</v>
      </c>
      <c r="P29" s="231">
        <v>210000</v>
      </c>
      <c r="Q29" s="232">
        <v>-121469</v>
      </c>
    </row>
    <row r="30" spans="1:17" ht="21" customHeight="1">
      <c r="A30" s="229" t="s">
        <v>231</v>
      </c>
      <c r="B30" s="283">
        <v>3548776</v>
      </c>
      <c r="C30" s="283">
        <v>3456221</v>
      </c>
      <c r="D30" s="230">
        <v>3291664</v>
      </c>
      <c r="E30" s="231">
        <v>3209364</v>
      </c>
      <c r="F30" s="227">
        <v>3110807</v>
      </c>
      <c r="G30" s="227">
        <v>3035896</v>
      </c>
      <c r="H30" s="227">
        <v>3444362</v>
      </c>
      <c r="I30" s="227">
        <v>3320602</v>
      </c>
      <c r="J30" s="227">
        <v>92555</v>
      </c>
      <c r="K30" s="231">
        <v>356</v>
      </c>
      <c r="L30" s="231">
        <v>92199</v>
      </c>
      <c r="M30" s="231">
        <v>10706</v>
      </c>
      <c r="N30" s="231">
        <v>42641</v>
      </c>
      <c r="O30" s="231">
        <v>302548</v>
      </c>
      <c r="P30" s="231">
        <v>332548</v>
      </c>
      <c r="Q30" s="232">
        <v>23347</v>
      </c>
    </row>
    <row r="31" spans="1:17" ht="21" customHeight="1">
      <c r="A31" s="229" t="s">
        <v>232</v>
      </c>
      <c r="B31" s="283">
        <v>5335416</v>
      </c>
      <c r="C31" s="283">
        <v>5260723</v>
      </c>
      <c r="D31" s="230">
        <v>5184709</v>
      </c>
      <c r="E31" s="231">
        <v>5097115</v>
      </c>
      <c r="F31" s="227">
        <v>5809480</v>
      </c>
      <c r="G31" s="227">
        <v>5655995</v>
      </c>
      <c r="H31" s="227">
        <v>5960029</v>
      </c>
      <c r="I31" s="227">
        <v>5807680</v>
      </c>
      <c r="J31" s="227">
        <v>74693</v>
      </c>
      <c r="K31" s="231">
        <v>0</v>
      </c>
      <c r="L31" s="231">
        <v>74693</v>
      </c>
      <c r="M31" s="231">
        <v>-9180</v>
      </c>
      <c r="N31" s="231">
        <v>150595</v>
      </c>
      <c r="O31" s="231">
        <v>0</v>
      </c>
      <c r="P31" s="231">
        <v>192608</v>
      </c>
      <c r="Q31" s="232">
        <v>-51193</v>
      </c>
    </row>
    <row r="32" spans="1:17" ht="21" customHeight="1">
      <c r="A32" s="229" t="s">
        <v>233</v>
      </c>
      <c r="B32" s="283">
        <v>3387803</v>
      </c>
      <c r="C32" s="283">
        <v>3241036</v>
      </c>
      <c r="D32" s="230">
        <v>3202634</v>
      </c>
      <c r="E32" s="231">
        <v>3066981</v>
      </c>
      <c r="F32" s="227">
        <v>3084725</v>
      </c>
      <c r="G32" s="227">
        <v>2970496</v>
      </c>
      <c r="H32" s="227">
        <v>3200775</v>
      </c>
      <c r="I32" s="227">
        <v>3019347</v>
      </c>
      <c r="J32" s="227">
        <v>146767</v>
      </c>
      <c r="K32" s="231">
        <v>22386</v>
      </c>
      <c r="L32" s="231">
        <v>124381</v>
      </c>
      <c r="M32" s="231">
        <v>-5372</v>
      </c>
      <c r="N32" s="231">
        <v>281162</v>
      </c>
      <c r="O32" s="231">
        <v>0</v>
      </c>
      <c r="P32" s="231">
        <v>198000</v>
      </c>
      <c r="Q32" s="232">
        <v>77790</v>
      </c>
    </row>
    <row r="33" spans="1:17" ht="21" customHeight="1">
      <c r="A33" s="229" t="s">
        <v>234</v>
      </c>
      <c r="B33" s="283">
        <v>7258923</v>
      </c>
      <c r="C33" s="283">
        <v>7089758</v>
      </c>
      <c r="D33" s="230">
        <v>7653415</v>
      </c>
      <c r="E33" s="231">
        <v>7420371</v>
      </c>
      <c r="F33" s="227">
        <v>8011506</v>
      </c>
      <c r="G33" s="227">
        <v>7807551</v>
      </c>
      <c r="H33" s="227">
        <v>7411466</v>
      </c>
      <c r="I33" s="227">
        <v>7246743</v>
      </c>
      <c r="J33" s="227">
        <v>169165</v>
      </c>
      <c r="K33" s="231">
        <v>35720</v>
      </c>
      <c r="L33" s="231">
        <v>133445</v>
      </c>
      <c r="M33" s="231">
        <v>-40564</v>
      </c>
      <c r="N33" s="231">
        <v>642</v>
      </c>
      <c r="O33" s="231">
        <v>15256</v>
      </c>
      <c r="P33" s="231">
        <v>85000</v>
      </c>
      <c r="Q33" s="232">
        <v>-109666</v>
      </c>
    </row>
    <row r="34" spans="1:17" ht="21" customHeight="1">
      <c r="A34" s="229" t="s">
        <v>235</v>
      </c>
      <c r="B34" s="283">
        <v>7164436</v>
      </c>
      <c r="C34" s="283">
        <v>6934959</v>
      </c>
      <c r="D34" s="230">
        <v>7338624</v>
      </c>
      <c r="E34" s="231">
        <v>7053302</v>
      </c>
      <c r="F34" s="227">
        <v>8059507</v>
      </c>
      <c r="G34" s="227">
        <v>7804471</v>
      </c>
      <c r="H34" s="227">
        <v>7110248</v>
      </c>
      <c r="I34" s="227">
        <v>6873850</v>
      </c>
      <c r="J34" s="227">
        <v>229477</v>
      </c>
      <c r="K34" s="231">
        <v>1200</v>
      </c>
      <c r="L34" s="231">
        <v>228277</v>
      </c>
      <c r="M34" s="231">
        <v>-49956</v>
      </c>
      <c r="N34" s="231">
        <v>160</v>
      </c>
      <c r="O34" s="231">
        <v>615</v>
      </c>
      <c r="P34" s="231">
        <v>0</v>
      </c>
      <c r="Q34" s="232">
        <v>-49181</v>
      </c>
    </row>
    <row r="35" spans="1:17" ht="21" customHeight="1">
      <c r="A35" s="229" t="s">
        <v>236</v>
      </c>
      <c r="B35" s="283">
        <v>1926909</v>
      </c>
      <c r="C35" s="283">
        <v>1841763</v>
      </c>
      <c r="D35" s="230">
        <v>1768557</v>
      </c>
      <c r="E35" s="231">
        <v>1691682</v>
      </c>
      <c r="F35" s="227">
        <v>1976171</v>
      </c>
      <c r="G35" s="227">
        <v>1878571</v>
      </c>
      <c r="H35" s="227">
        <v>2487785</v>
      </c>
      <c r="I35" s="227">
        <v>2410736</v>
      </c>
      <c r="J35" s="227">
        <v>85146</v>
      </c>
      <c r="K35" s="231">
        <v>1155</v>
      </c>
      <c r="L35" s="231">
        <v>83991</v>
      </c>
      <c r="M35" s="231">
        <v>7116</v>
      </c>
      <c r="N35" s="231">
        <v>38721</v>
      </c>
      <c r="O35" s="231">
        <v>0</v>
      </c>
      <c r="P35" s="231">
        <v>20000</v>
      </c>
      <c r="Q35" s="232">
        <v>25837</v>
      </c>
    </row>
    <row r="36" spans="1:17" ht="21" customHeight="1">
      <c r="A36" s="229" t="s">
        <v>237</v>
      </c>
      <c r="B36" s="283">
        <v>3588496</v>
      </c>
      <c r="C36" s="283">
        <v>3361988</v>
      </c>
      <c r="D36" s="230">
        <v>3690542</v>
      </c>
      <c r="E36" s="231">
        <v>3440808</v>
      </c>
      <c r="F36" s="227">
        <v>4023499</v>
      </c>
      <c r="G36" s="227">
        <v>3792259</v>
      </c>
      <c r="H36" s="227">
        <v>4435993</v>
      </c>
      <c r="I36" s="227">
        <v>4197015</v>
      </c>
      <c r="J36" s="227">
        <v>226508</v>
      </c>
      <c r="K36" s="231">
        <v>11479</v>
      </c>
      <c r="L36" s="231">
        <v>215029</v>
      </c>
      <c r="M36" s="231">
        <v>-18343</v>
      </c>
      <c r="N36" s="231">
        <v>0</v>
      </c>
      <c r="O36" s="231">
        <v>0</v>
      </c>
      <c r="P36" s="231">
        <v>0</v>
      </c>
      <c r="Q36" s="232">
        <v>-18343</v>
      </c>
    </row>
    <row r="37" spans="1:17" ht="21" customHeight="1">
      <c r="A37" s="229" t="s">
        <v>238</v>
      </c>
      <c r="B37" s="283">
        <v>1943100</v>
      </c>
      <c r="C37" s="283">
        <v>1857908</v>
      </c>
      <c r="D37" s="230">
        <v>1851605</v>
      </c>
      <c r="E37" s="231">
        <v>1777036</v>
      </c>
      <c r="F37" s="227">
        <v>2001629</v>
      </c>
      <c r="G37" s="227">
        <v>1923670</v>
      </c>
      <c r="H37" s="227">
        <v>2225216</v>
      </c>
      <c r="I37" s="227">
        <v>2144209</v>
      </c>
      <c r="J37" s="227">
        <v>85192</v>
      </c>
      <c r="K37" s="231">
        <v>0</v>
      </c>
      <c r="L37" s="231">
        <v>85192</v>
      </c>
      <c r="M37" s="231">
        <v>11527</v>
      </c>
      <c r="N37" s="231">
        <v>204354</v>
      </c>
      <c r="O37" s="231">
        <v>0</v>
      </c>
      <c r="P37" s="231">
        <v>145000</v>
      </c>
      <c r="Q37" s="232">
        <v>70881</v>
      </c>
    </row>
    <row r="38" spans="1:17" ht="21" customHeight="1">
      <c r="A38" s="229" t="s">
        <v>239</v>
      </c>
      <c r="B38" s="283">
        <v>2718666</v>
      </c>
      <c r="C38" s="283">
        <v>2648851</v>
      </c>
      <c r="D38" s="230">
        <v>2622093</v>
      </c>
      <c r="E38" s="231">
        <v>2559299</v>
      </c>
      <c r="F38" s="227">
        <v>2967973</v>
      </c>
      <c r="G38" s="227">
        <v>2920676</v>
      </c>
      <c r="H38" s="227">
        <v>2981723</v>
      </c>
      <c r="I38" s="227">
        <v>2941680</v>
      </c>
      <c r="J38" s="227">
        <v>69815</v>
      </c>
      <c r="K38" s="231">
        <v>0</v>
      </c>
      <c r="L38" s="231">
        <v>69815</v>
      </c>
      <c r="M38" s="231">
        <v>7188</v>
      </c>
      <c r="N38" s="231">
        <v>706</v>
      </c>
      <c r="O38" s="231">
        <v>0</v>
      </c>
      <c r="P38" s="231">
        <v>18418</v>
      </c>
      <c r="Q38" s="232">
        <v>-10524</v>
      </c>
    </row>
    <row r="39" spans="1:17" ht="21" customHeight="1">
      <c r="A39" s="229" t="s">
        <v>240</v>
      </c>
      <c r="B39" s="283">
        <v>1650612</v>
      </c>
      <c r="C39" s="283">
        <v>1633429</v>
      </c>
      <c r="D39" s="230">
        <v>1688420</v>
      </c>
      <c r="E39" s="231">
        <v>1641574</v>
      </c>
      <c r="F39" s="227">
        <v>1807309</v>
      </c>
      <c r="G39" s="227">
        <v>1771730</v>
      </c>
      <c r="H39" s="227">
        <v>2077432</v>
      </c>
      <c r="I39" s="227">
        <v>2043313</v>
      </c>
      <c r="J39" s="227">
        <v>17183</v>
      </c>
      <c r="K39" s="231">
        <v>0</v>
      </c>
      <c r="L39" s="231">
        <v>17183</v>
      </c>
      <c r="M39" s="231">
        <v>-29008</v>
      </c>
      <c r="N39" s="231">
        <v>54635</v>
      </c>
      <c r="O39" s="231">
        <v>0</v>
      </c>
      <c r="P39" s="231">
        <v>0</v>
      </c>
      <c r="Q39" s="232">
        <v>25627</v>
      </c>
    </row>
    <row r="40" spans="1:17" ht="21" customHeight="1">
      <c r="A40" s="229" t="s">
        <v>241</v>
      </c>
      <c r="B40" s="283">
        <v>10610245</v>
      </c>
      <c r="C40" s="283">
        <v>10389399</v>
      </c>
      <c r="D40" s="230">
        <v>11518811</v>
      </c>
      <c r="E40" s="231">
        <v>11345676</v>
      </c>
      <c r="F40" s="227">
        <v>13972679</v>
      </c>
      <c r="G40" s="227">
        <v>13866760</v>
      </c>
      <c r="H40" s="227">
        <v>11148894</v>
      </c>
      <c r="I40" s="227">
        <v>10927767</v>
      </c>
      <c r="J40" s="227">
        <v>220846</v>
      </c>
      <c r="K40" s="231">
        <v>30190</v>
      </c>
      <c r="L40" s="231">
        <v>190656</v>
      </c>
      <c r="M40" s="231">
        <v>32307</v>
      </c>
      <c r="N40" s="231">
        <v>89905</v>
      </c>
      <c r="O40" s="231">
        <v>21</v>
      </c>
      <c r="P40" s="231">
        <v>0</v>
      </c>
      <c r="Q40" s="232">
        <v>122233</v>
      </c>
    </row>
    <row r="41" spans="1:17" ht="21" customHeight="1">
      <c r="A41" s="229" t="s">
        <v>242</v>
      </c>
      <c r="B41" s="283">
        <v>9365753</v>
      </c>
      <c r="C41" s="283">
        <v>9161497</v>
      </c>
      <c r="D41" s="230">
        <v>7738164</v>
      </c>
      <c r="E41" s="231">
        <v>7517668</v>
      </c>
      <c r="F41" s="227">
        <v>6599580</v>
      </c>
      <c r="G41" s="227">
        <v>6444312</v>
      </c>
      <c r="H41" s="227">
        <v>7411162</v>
      </c>
      <c r="I41" s="227">
        <v>7266512</v>
      </c>
      <c r="J41" s="227">
        <v>204256</v>
      </c>
      <c r="K41" s="231">
        <v>8685</v>
      </c>
      <c r="L41" s="231">
        <v>195571</v>
      </c>
      <c r="M41" s="231">
        <v>-24925</v>
      </c>
      <c r="N41" s="231">
        <v>323901</v>
      </c>
      <c r="O41" s="231">
        <v>0</v>
      </c>
      <c r="P41" s="231">
        <v>0</v>
      </c>
      <c r="Q41" s="232">
        <v>298976</v>
      </c>
    </row>
    <row r="42" spans="1:17" ht="21" customHeight="1">
      <c r="A42" s="229" t="s">
        <v>243</v>
      </c>
      <c r="B42" s="283">
        <v>2984533</v>
      </c>
      <c r="C42" s="283">
        <v>2947299</v>
      </c>
      <c r="D42" s="230">
        <v>3549642</v>
      </c>
      <c r="E42" s="231">
        <v>3467994</v>
      </c>
      <c r="F42" s="227">
        <v>3708437</v>
      </c>
      <c r="G42" s="227">
        <v>3680047</v>
      </c>
      <c r="H42" s="227">
        <v>3498559</v>
      </c>
      <c r="I42" s="227">
        <v>3516660</v>
      </c>
      <c r="J42" s="227">
        <v>37234</v>
      </c>
      <c r="K42" s="231">
        <v>0</v>
      </c>
      <c r="L42" s="231">
        <v>37234</v>
      </c>
      <c r="M42" s="231">
        <v>-44414</v>
      </c>
      <c r="N42" s="231">
        <v>0</v>
      </c>
      <c r="O42" s="231">
        <v>2242</v>
      </c>
      <c r="P42" s="231">
        <v>0</v>
      </c>
      <c r="Q42" s="232">
        <v>-42172</v>
      </c>
    </row>
    <row r="43" spans="1:17" ht="21" customHeight="1">
      <c r="A43" s="229" t="s">
        <v>244</v>
      </c>
      <c r="B43" s="283">
        <v>2416109</v>
      </c>
      <c r="C43" s="283">
        <v>2302454</v>
      </c>
      <c r="D43" s="230">
        <v>2045269</v>
      </c>
      <c r="E43" s="231">
        <v>1881995</v>
      </c>
      <c r="F43" s="227">
        <v>2089350</v>
      </c>
      <c r="G43" s="227">
        <v>1968755</v>
      </c>
      <c r="H43" s="227">
        <v>2623371</v>
      </c>
      <c r="I43" s="227">
        <v>2466769</v>
      </c>
      <c r="J43" s="227">
        <v>113655</v>
      </c>
      <c r="K43" s="231">
        <v>0</v>
      </c>
      <c r="L43" s="231">
        <v>113655</v>
      </c>
      <c r="M43" s="231">
        <v>-49619</v>
      </c>
      <c r="N43" s="231">
        <v>1038</v>
      </c>
      <c r="O43" s="231">
        <v>0</v>
      </c>
      <c r="P43" s="231">
        <v>6200</v>
      </c>
      <c r="Q43" s="232">
        <v>-54781</v>
      </c>
    </row>
    <row r="44" spans="1:17" ht="21" customHeight="1">
      <c r="A44" s="229" t="s">
        <v>245</v>
      </c>
      <c r="B44" s="283">
        <v>5672196</v>
      </c>
      <c r="C44" s="283">
        <v>5524206</v>
      </c>
      <c r="D44" s="230">
        <v>5800560</v>
      </c>
      <c r="E44" s="231">
        <v>5676630</v>
      </c>
      <c r="F44" s="227">
        <v>5730965</v>
      </c>
      <c r="G44" s="227">
        <v>5582048</v>
      </c>
      <c r="H44" s="227">
        <v>5717659</v>
      </c>
      <c r="I44" s="227">
        <v>5627923</v>
      </c>
      <c r="J44" s="227">
        <v>147990</v>
      </c>
      <c r="K44" s="231">
        <v>0</v>
      </c>
      <c r="L44" s="231">
        <v>147990</v>
      </c>
      <c r="M44" s="231">
        <v>26905</v>
      </c>
      <c r="N44" s="231">
        <v>29319</v>
      </c>
      <c r="O44" s="231">
        <v>124596</v>
      </c>
      <c r="P44" s="231">
        <v>0</v>
      </c>
      <c r="Q44" s="232">
        <v>180820</v>
      </c>
    </row>
    <row r="45" spans="1:17" ht="21" customHeight="1">
      <c r="A45" s="229" t="s">
        <v>246</v>
      </c>
      <c r="B45" s="283">
        <v>5230075</v>
      </c>
      <c r="C45" s="283">
        <v>5123645</v>
      </c>
      <c r="D45" s="230">
        <v>5241567</v>
      </c>
      <c r="E45" s="231">
        <v>5083491</v>
      </c>
      <c r="F45" s="227">
        <v>5382105</v>
      </c>
      <c r="G45" s="227">
        <v>5177106</v>
      </c>
      <c r="H45" s="227">
        <v>5955182</v>
      </c>
      <c r="I45" s="227">
        <v>5711957</v>
      </c>
      <c r="J45" s="227">
        <v>106430</v>
      </c>
      <c r="K45" s="231">
        <v>16863</v>
      </c>
      <c r="L45" s="231">
        <v>89567</v>
      </c>
      <c r="M45" s="231">
        <v>-33096</v>
      </c>
      <c r="N45" s="231">
        <v>2018</v>
      </c>
      <c r="O45" s="231">
        <v>0</v>
      </c>
      <c r="P45" s="231">
        <v>93759</v>
      </c>
      <c r="Q45" s="232">
        <v>-124837</v>
      </c>
    </row>
    <row r="46" spans="1:17" ht="21" customHeight="1">
      <c r="A46" s="229" t="s">
        <v>247</v>
      </c>
      <c r="B46" s="283">
        <v>3210319</v>
      </c>
      <c r="C46" s="283">
        <v>3090822</v>
      </c>
      <c r="D46" s="230">
        <v>4043185</v>
      </c>
      <c r="E46" s="231">
        <v>3996898</v>
      </c>
      <c r="F46" s="227">
        <v>3213516</v>
      </c>
      <c r="G46" s="227">
        <v>3107799</v>
      </c>
      <c r="H46" s="227">
        <v>3671250</v>
      </c>
      <c r="I46" s="227">
        <v>3591706</v>
      </c>
      <c r="J46" s="227">
        <v>119497</v>
      </c>
      <c r="K46" s="231">
        <v>970</v>
      </c>
      <c r="L46" s="231">
        <v>118527</v>
      </c>
      <c r="M46" s="231">
        <v>72271</v>
      </c>
      <c r="N46" s="231">
        <v>61631</v>
      </c>
      <c r="O46" s="231">
        <v>112270</v>
      </c>
      <c r="P46" s="231">
        <v>0</v>
      </c>
      <c r="Q46" s="232">
        <v>246172</v>
      </c>
    </row>
    <row r="47" spans="1:17" ht="21" customHeight="1">
      <c r="A47" s="229" t="s">
        <v>248</v>
      </c>
      <c r="B47" s="283">
        <v>5168278</v>
      </c>
      <c r="C47" s="283">
        <v>5012843</v>
      </c>
      <c r="D47" s="230">
        <v>4795377</v>
      </c>
      <c r="E47" s="231">
        <v>4650132</v>
      </c>
      <c r="F47" s="227">
        <v>5014862</v>
      </c>
      <c r="G47" s="227">
        <v>4863007</v>
      </c>
      <c r="H47" s="227">
        <v>5048620</v>
      </c>
      <c r="I47" s="227">
        <v>4889336</v>
      </c>
      <c r="J47" s="227">
        <v>155435</v>
      </c>
      <c r="K47" s="231">
        <v>17956</v>
      </c>
      <c r="L47" s="231">
        <v>137479</v>
      </c>
      <c r="M47" s="231">
        <v>-6722</v>
      </c>
      <c r="N47" s="231">
        <v>73509</v>
      </c>
      <c r="O47" s="231">
        <v>0</v>
      </c>
      <c r="P47" s="231">
        <v>259688</v>
      </c>
      <c r="Q47" s="232">
        <v>-192901</v>
      </c>
    </row>
    <row r="48" spans="1:17" ht="21" customHeight="1">
      <c r="A48" s="229" t="s">
        <v>249</v>
      </c>
      <c r="B48" s="283">
        <v>3128001</v>
      </c>
      <c r="C48" s="283">
        <v>3062702</v>
      </c>
      <c r="D48" s="230">
        <v>3232052</v>
      </c>
      <c r="E48" s="231">
        <v>3163194</v>
      </c>
      <c r="F48" s="227">
        <v>3052413</v>
      </c>
      <c r="G48" s="227">
        <v>2992769</v>
      </c>
      <c r="H48" s="227">
        <v>3011887</v>
      </c>
      <c r="I48" s="227">
        <v>2954693</v>
      </c>
      <c r="J48" s="227">
        <v>65299</v>
      </c>
      <c r="K48" s="231">
        <v>2625</v>
      </c>
      <c r="L48" s="231">
        <v>62674</v>
      </c>
      <c r="M48" s="231">
        <v>-4450</v>
      </c>
      <c r="N48" s="231">
        <v>172331</v>
      </c>
      <c r="O48" s="231">
        <v>0</v>
      </c>
      <c r="P48" s="231">
        <v>100000</v>
      </c>
      <c r="Q48" s="232">
        <v>67881</v>
      </c>
    </row>
    <row r="49" spans="1:17" ht="21" customHeight="1">
      <c r="A49" s="229" t="s">
        <v>250</v>
      </c>
      <c r="B49" s="283">
        <v>6387479</v>
      </c>
      <c r="C49" s="283">
        <v>6202558</v>
      </c>
      <c r="D49" s="230">
        <v>5981959</v>
      </c>
      <c r="E49" s="231">
        <v>5850082</v>
      </c>
      <c r="F49" s="227">
        <v>6248707</v>
      </c>
      <c r="G49" s="227">
        <v>6071270</v>
      </c>
      <c r="H49" s="227">
        <v>6117120</v>
      </c>
      <c r="I49" s="227">
        <v>5910548</v>
      </c>
      <c r="J49" s="227">
        <v>184921</v>
      </c>
      <c r="K49" s="231">
        <v>0</v>
      </c>
      <c r="L49" s="231">
        <v>184921</v>
      </c>
      <c r="M49" s="231">
        <v>54125</v>
      </c>
      <c r="N49" s="231">
        <v>0</v>
      </c>
      <c r="O49" s="231">
        <v>431000</v>
      </c>
      <c r="P49" s="231">
        <v>0</v>
      </c>
      <c r="Q49" s="232">
        <v>485125</v>
      </c>
    </row>
    <row r="50" spans="1:17" ht="21" customHeight="1">
      <c r="A50" s="229" t="s">
        <v>251</v>
      </c>
      <c r="B50" s="283">
        <v>3152024</v>
      </c>
      <c r="C50" s="283">
        <v>3071996</v>
      </c>
      <c r="D50" s="230">
        <v>3055756</v>
      </c>
      <c r="E50" s="231">
        <v>2984937</v>
      </c>
      <c r="F50" s="227">
        <v>3269704</v>
      </c>
      <c r="G50" s="227">
        <v>3187812</v>
      </c>
      <c r="H50" s="227">
        <v>3214656</v>
      </c>
      <c r="I50" s="227">
        <v>3108419</v>
      </c>
      <c r="J50" s="227">
        <v>80028</v>
      </c>
      <c r="K50" s="231">
        <v>0</v>
      </c>
      <c r="L50" s="231">
        <v>80028</v>
      </c>
      <c r="M50" s="231">
        <v>9209</v>
      </c>
      <c r="N50" s="231">
        <v>37000</v>
      </c>
      <c r="O50" s="231">
        <v>86596</v>
      </c>
      <c r="P50" s="231">
        <v>36000</v>
      </c>
      <c r="Q50" s="232">
        <v>96805</v>
      </c>
    </row>
    <row r="51" spans="1:17" ht="21" customHeight="1">
      <c r="A51" s="229" t="s">
        <v>252</v>
      </c>
      <c r="B51" s="283">
        <v>3674678</v>
      </c>
      <c r="C51" s="283">
        <v>3563996</v>
      </c>
      <c r="D51" s="230">
        <v>3416214</v>
      </c>
      <c r="E51" s="231">
        <v>3345602</v>
      </c>
      <c r="F51" s="227">
        <v>3361343</v>
      </c>
      <c r="G51" s="227">
        <v>3274460</v>
      </c>
      <c r="H51" s="227">
        <v>3884846</v>
      </c>
      <c r="I51" s="227">
        <v>3779181</v>
      </c>
      <c r="J51" s="227">
        <v>110682</v>
      </c>
      <c r="K51" s="231">
        <v>0</v>
      </c>
      <c r="L51" s="231">
        <v>110682</v>
      </c>
      <c r="M51" s="231">
        <v>47160</v>
      </c>
      <c r="N51" s="231">
        <v>32142</v>
      </c>
      <c r="O51" s="231">
        <v>0</v>
      </c>
      <c r="P51" s="231">
        <v>0</v>
      </c>
      <c r="Q51" s="232">
        <v>79302</v>
      </c>
    </row>
    <row r="52" spans="1:17" ht="21" customHeight="1">
      <c r="A52" s="229" t="s">
        <v>253</v>
      </c>
      <c r="B52" s="283">
        <v>2982451</v>
      </c>
      <c r="C52" s="283">
        <v>2854123</v>
      </c>
      <c r="D52" s="230">
        <v>2915271</v>
      </c>
      <c r="E52" s="231">
        <v>2755660</v>
      </c>
      <c r="F52" s="227">
        <v>2768504</v>
      </c>
      <c r="G52" s="227">
        <v>2625785</v>
      </c>
      <c r="H52" s="227">
        <v>2808511</v>
      </c>
      <c r="I52" s="227">
        <v>2694007</v>
      </c>
      <c r="J52" s="227">
        <v>128328</v>
      </c>
      <c r="K52" s="231">
        <v>0</v>
      </c>
      <c r="L52" s="231">
        <v>128328</v>
      </c>
      <c r="M52" s="231">
        <v>-27525</v>
      </c>
      <c r="N52" s="231">
        <v>180000</v>
      </c>
      <c r="O52" s="231">
        <v>0</v>
      </c>
      <c r="P52" s="231">
        <v>150000</v>
      </c>
      <c r="Q52" s="232">
        <v>2475</v>
      </c>
    </row>
    <row r="53" spans="1:17" ht="21" customHeight="1">
      <c r="A53" s="229" t="s">
        <v>254</v>
      </c>
      <c r="B53" s="283">
        <v>3573401</v>
      </c>
      <c r="C53" s="283">
        <v>3541913</v>
      </c>
      <c r="D53" s="230">
        <v>3717743</v>
      </c>
      <c r="E53" s="231">
        <v>3695765</v>
      </c>
      <c r="F53" s="227">
        <v>3861665</v>
      </c>
      <c r="G53" s="227">
        <v>3827570</v>
      </c>
      <c r="H53" s="227">
        <v>3655879</v>
      </c>
      <c r="I53" s="227">
        <v>3603494</v>
      </c>
      <c r="J53" s="227">
        <v>31488</v>
      </c>
      <c r="K53" s="231">
        <v>0</v>
      </c>
      <c r="L53" s="231">
        <v>31488</v>
      </c>
      <c r="M53" s="231">
        <v>10074</v>
      </c>
      <c r="N53" s="231">
        <v>59336</v>
      </c>
      <c r="O53" s="231">
        <v>0</v>
      </c>
      <c r="P53" s="231">
        <v>2810</v>
      </c>
      <c r="Q53" s="232">
        <v>66600</v>
      </c>
    </row>
    <row r="54" spans="1:17" ht="21" customHeight="1">
      <c r="A54" s="229" t="s">
        <v>255</v>
      </c>
      <c r="B54" s="283">
        <v>6562020</v>
      </c>
      <c r="C54" s="283">
        <v>6332695</v>
      </c>
      <c r="D54" s="230">
        <v>6122150</v>
      </c>
      <c r="E54" s="231">
        <v>5908039</v>
      </c>
      <c r="F54" s="227">
        <v>6260357</v>
      </c>
      <c r="G54" s="227">
        <v>5991719</v>
      </c>
      <c r="H54" s="227">
        <v>7223511</v>
      </c>
      <c r="I54" s="227">
        <v>6932458</v>
      </c>
      <c r="J54" s="227">
        <v>229325</v>
      </c>
      <c r="K54" s="231">
        <v>0</v>
      </c>
      <c r="L54" s="231">
        <v>229325</v>
      </c>
      <c r="M54" s="231">
        <v>16209</v>
      </c>
      <c r="N54" s="231">
        <v>3202</v>
      </c>
      <c r="O54" s="231">
        <v>152</v>
      </c>
      <c r="P54" s="231">
        <v>226654</v>
      </c>
      <c r="Q54" s="232">
        <v>-207091</v>
      </c>
    </row>
    <row r="55" spans="1:17" ht="21" customHeight="1">
      <c r="A55" s="229" t="s">
        <v>256</v>
      </c>
      <c r="B55" s="283">
        <v>4326430</v>
      </c>
      <c r="C55" s="283">
        <v>4232581</v>
      </c>
      <c r="D55" s="230">
        <v>4621095</v>
      </c>
      <c r="E55" s="231">
        <v>4489611</v>
      </c>
      <c r="F55" s="227">
        <v>4569718</v>
      </c>
      <c r="G55" s="227">
        <v>4458098</v>
      </c>
      <c r="H55" s="227">
        <v>4434101</v>
      </c>
      <c r="I55" s="227">
        <v>4334543</v>
      </c>
      <c r="J55" s="227">
        <v>93849</v>
      </c>
      <c r="K55" s="231">
        <v>1603</v>
      </c>
      <c r="L55" s="231">
        <v>92246</v>
      </c>
      <c r="M55" s="231">
        <v>-36861</v>
      </c>
      <c r="N55" s="231">
        <v>147196</v>
      </c>
      <c r="O55" s="231">
        <v>5727</v>
      </c>
      <c r="P55" s="231">
        <v>100000</v>
      </c>
      <c r="Q55" s="232">
        <v>16062</v>
      </c>
    </row>
    <row r="56" spans="1:17" ht="21" customHeight="1">
      <c r="A56" s="229" t="s">
        <v>257</v>
      </c>
      <c r="B56" s="283">
        <v>3944629</v>
      </c>
      <c r="C56" s="283">
        <v>3778587</v>
      </c>
      <c r="D56" s="230">
        <v>4797626</v>
      </c>
      <c r="E56" s="231">
        <v>4617297</v>
      </c>
      <c r="F56" s="227">
        <v>4690583</v>
      </c>
      <c r="G56" s="227">
        <v>4529690</v>
      </c>
      <c r="H56" s="227">
        <v>4089380</v>
      </c>
      <c r="I56" s="227">
        <v>3915438</v>
      </c>
      <c r="J56" s="227">
        <v>166042</v>
      </c>
      <c r="K56" s="231">
        <v>0</v>
      </c>
      <c r="L56" s="231">
        <v>166042</v>
      </c>
      <c r="M56" s="231">
        <v>-12887</v>
      </c>
      <c r="N56" s="231">
        <v>34799</v>
      </c>
      <c r="O56" s="231">
        <v>0</v>
      </c>
      <c r="P56" s="231">
        <v>0</v>
      </c>
      <c r="Q56" s="232">
        <v>21912</v>
      </c>
    </row>
    <row r="57" spans="1:17" ht="21" customHeight="1">
      <c r="A57" s="229" t="s">
        <v>258</v>
      </c>
      <c r="B57" s="283">
        <v>6114588</v>
      </c>
      <c r="C57" s="283">
        <v>5884339</v>
      </c>
      <c r="D57" s="230">
        <v>6022462</v>
      </c>
      <c r="E57" s="231">
        <v>5711227</v>
      </c>
      <c r="F57" s="227">
        <v>5248994</v>
      </c>
      <c r="G57" s="227">
        <v>5019128</v>
      </c>
      <c r="H57" s="227">
        <v>5130522</v>
      </c>
      <c r="I57" s="227">
        <v>4894637</v>
      </c>
      <c r="J57" s="227">
        <v>230249</v>
      </c>
      <c r="K57" s="231">
        <v>6886</v>
      </c>
      <c r="L57" s="231">
        <v>223363</v>
      </c>
      <c r="M57" s="231">
        <v>-50382</v>
      </c>
      <c r="N57" s="231">
        <v>152131</v>
      </c>
      <c r="O57" s="231">
        <v>0</v>
      </c>
      <c r="P57" s="231">
        <v>115000</v>
      </c>
      <c r="Q57" s="232">
        <v>-13251</v>
      </c>
    </row>
    <row r="58" spans="1:17" ht="21" customHeight="1">
      <c r="A58" s="229" t="s">
        <v>259</v>
      </c>
      <c r="B58" s="283">
        <v>7467188</v>
      </c>
      <c r="C58" s="283">
        <v>7269236</v>
      </c>
      <c r="D58" s="230">
        <v>7194920</v>
      </c>
      <c r="E58" s="231">
        <v>6984625</v>
      </c>
      <c r="F58" s="227">
        <v>7727897</v>
      </c>
      <c r="G58" s="227">
        <v>7557672</v>
      </c>
      <c r="H58" s="227">
        <v>7963291</v>
      </c>
      <c r="I58" s="227">
        <v>7749771</v>
      </c>
      <c r="J58" s="227">
        <v>197952</v>
      </c>
      <c r="K58" s="231">
        <v>0</v>
      </c>
      <c r="L58" s="231">
        <v>197952</v>
      </c>
      <c r="M58" s="231">
        <v>-12343</v>
      </c>
      <c r="N58" s="231">
        <v>2892</v>
      </c>
      <c r="O58" s="231">
        <v>0</v>
      </c>
      <c r="P58" s="231">
        <v>94510</v>
      </c>
      <c r="Q58" s="232">
        <v>-103961</v>
      </c>
    </row>
    <row r="59" spans="1:17" ht="21" customHeight="1">
      <c r="A59" s="229" t="s">
        <v>260</v>
      </c>
      <c r="B59" s="283">
        <v>2670102</v>
      </c>
      <c r="C59" s="283">
        <v>2557511</v>
      </c>
      <c r="D59" s="230">
        <v>2531267</v>
      </c>
      <c r="E59" s="231">
        <v>2419234</v>
      </c>
      <c r="F59" s="227">
        <v>2542685</v>
      </c>
      <c r="G59" s="227">
        <v>2444500</v>
      </c>
      <c r="H59" s="227">
        <v>2713672</v>
      </c>
      <c r="I59" s="227">
        <v>2626542</v>
      </c>
      <c r="J59" s="227">
        <v>112591</v>
      </c>
      <c r="K59" s="231">
        <v>46031</v>
      </c>
      <c r="L59" s="231">
        <v>66560</v>
      </c>
      <c r="M59" s="231">
        <v>-26582</v>
      </c>
      <c r="N59" s="231">
        <v>0</v>
      </c>
      <c r="O59" s="231">
        <v>37871</v>
      </c>
      <c r="P59" s="231">
        <v>0</v>
      </c>
      <c r="Q59" s="232">
        <v>11289</v>
      </c>
    </row>
    <row r="60" spans="1:17" ht="21" customHeight="1">
      <c r="A60" s="229" t="s">
        <v>261</v>
      </c>
      <c r="B60" s="283">
        <v>8309673</v>
      </c>
      <c r="C60" s="283">
        <v>7916499</v>
      </c>
      <c r="D60" s="230">
        <v>6841176</v>
      </c>
      <c r="E60" s="231">
        <v>6684665</v>
      </c>
      <c r="F60" s="227">
        <v>6562911</v>
      </c>
      <c r="G60" s="227">
        <v>6374964</v>
      </c>
      <c r="H60" s="227">
        <v>6804831</v>
      </c>
      <c r="I60" s="227">
        <v>6674599</v>
      </c>
      <c r="J60" s="227">
        <v>393174</v>
      </c>
      <c r="K60" s="231">
        <v>206772</v>
      </c>
      <c r="L60" s="231">
        <v>186402</v>
      </c>
      <c r="M60" s="231">
        <v>30957</v>
      </c>
      <c r="N60" s="231">
        <v>252912</v>
      </c>
      <c r="O60" s="231">
        <v>0</v>
      </c>
      <c r="P60" s="231">
        <v>0</v>
      </c>
      <c r="Q60" s="232">
        <v>283869</v>
      </c>
    </row>
    <row r="61" spans="1:17" ht="21" customHeight="1">
      <c r="A61" s="229" t="s">
        <v>262</v>
      </c>
      <c r="B61" s="283">
        <v>5618178</v>
      </c>
      <c r="C61" s="283">
        <v>5509553</v>
      </c>
      <c r="D61" s="230">
        <v>4849134</v>
      </c>
      <c r="E61" s="231">
        <v>4727252</v>
      </c>
      <c r="F61" s="227">
        <v>5645008</v>
      </c>
      <c r="G61" s="227">
        <v>5512724</v>
      </c>
      <c r="H61" s="227">
        <v>6016439</v>
      </c>
      <c r="I61" s="227">
        <v>5886040</v>
      </c>
      <c r="J61" s="227">
        <v>108625</v>
      </c>
      <c r="K61" s="231">
        <v>0</v>
      </c>
      <c r="L61" s="231">
        <v>108625</v>
      </c>
      <c r="M61" s="231">
        <v>-13257</v>
      </c>
      <c r="N61" s="231">
        <v>61453</v>
      </c>
      <c r="O61" s="231">
        <v>0</v>
      </c>
      <c r="P61" s="231">
        <v>88447</v>
      </c>
      <c r="Q61" s="232">
        <v>-40251</v>
      </c>
    </row>
    <row r="62" spans="1:17" ht="21" customHeight="1">
      <c r="A62" s="229" t="s">
        <v>263</v>
      </c>
      <c r="B62" s="283">
        <v>7133323</v>
      </c>
      <c r="C62" s="283">
        <v>6985069</v>
      </c>
      <c r="D62" s="230">
        <v>7584705</v>
      </c>
      <c r="E62" s="231">
        <v>7370245</v>
      </c>
      <c r="F62" s="227">
        <v>7404676</v>
      </c>
      <c r="G62" s="227">
        <v>7203533</v>
      </c>
      <c r="H62" s="227">
        <v>8012988</v>
      </c>
      <c r="I62" s="227">
        <v>7809906</v>
      </c>
      <c r="J62" s="227">
        <v>148254</v>
      </c>
      <c r="K62" s="231">
        <v>0</v>
      </c>
      <c r="L62" s="231">
        <v>148254</v>
      </c>
      <c r="M62" s="231">
        <v>-62054</v>
      </c>
      <c r="N62" s="231">
        <v>200000</v>
      </c>
      <c r="O62" s="231">
        <v>19958</v>
      </c>
      <c r="P62" s="231">
        <v>220000</v>
      </c>
      <c r="Q62" s="232">
        <v>-62096</v>
      </c>
    </row>
    <row r="63" spans="1:17" ht="21" customHeight="1">
      <c r="A63" s="229" t="s">
        <v>264</v>
      </c>
      <c r="B63" s="283">
        <v>1622035</v>
      </c>
      <c r="C63" s="283">
        <v>1490356</v>
      </c>
      <c r="D63" s="230">
        <v>1600453</v>
      </c>
      <c r="E63" s="231">
        <v>1515332</v>
      </c>
      <c r="F63" s="227">
        <v>1698780</v>
      </c>
      <c r="G63" s="227">
        <v>1633347</v>
      </c>
      <c r="H63" s="227">
        <v>1691671</v>
      </c>
      <c r="I63" s="227">
        <v>1614204</v>
      </c>
      <c r="J63" s="227">
        <v>131679</v>
      </c>
      <c r="K63" s="231">
        <v>34965</v>
      </c>
      <c r="L63" s="231">
        <v>96714</v>
      </c>
      <c r="M63" s="231">
        <v>11593</v>
      </c>
      <c r="N63" s="231">
        <v>992</v>
      </c>
      <c r="O63" s="231">
        <v>0</v>
      </c>
      <c r="P63" s="231">
        <v>40000</v>
      </c>
      <c r="Q63" s="232">
        <v>-27415</v>
      </c>
    </row>
    <row r="64" spans="1:17" ht="21" customHeight="1">
      <c r="A64" s="229" t="s">
        <v>265</v>
      </c>
      <c r="B64" s="283">
        <v>4058494</v>
      </c>
      <c r="C64" s="283">
        <v>3815330</v>
      </c>
      <c r="D64" s="230">
        <v>4161107</v>
      </c>
      <c r="E64" s="231">
        <v>3922591</v>
      </c>
      <c r="F64" s="227">
        <v>4313422</v>
      </c>
      <c r="G64" s="227">
        <v>4104942</v>
      </c>
      <c r="H64" s="227">
        <v>4443200</v>
      </c>
      <c r="I64" s="227">
        <v>4253520</v>
      </c>
      <c r="J64" s="227">
        <v>243164</v>
      </c>
      <c r="K64" s="231">
        <v>0</v>
      </c>
      <c r="L64" s="231">
        <v>243164</v>
      </c>
      <c r="M64" s="231">
        <v>9058</v>
      </c>
      <c r="N64" s="231">
        <v>123427</v>
      </c>
      <c r="O64" s="231">
        <v>0</v>
      </c>
      <c r="P64" s="231">
        <v>0</v>
      </c>
      <c r="Q64" s="232">
        <v>132485</v>
      </c>
    </row>
    <row r="65" spans="1:17" ht="21" customHeight="1" thickBot="1">
      <c r="A65" s="233" t="s">
        <v>266</v>
      </c>
      <c r="B65" s="284">
        <v>4167115</v>
      </c>
      <c r="C65" s="284">
        <v>3917832</v>
      </c>
      <c r="D65" s="234">
        <v>3860584</v>
      </c>
      <c r="E65" s="235">
        <v>3631300</v>
      </c>
      <c r="F65" s="235">
        <v>3732382</v>
      </c>
      <c r="G65" s="235">
        <v>3581591</v>
      </c>
      <c r="H65" s="235">
        <v>4710615</v>
      </c>
      <c r="I65" s="235">
        <v>4508896</v>
      </c>
      <c r="J65" s="235">
        <v>249283</v>
      </c>
      <c r="K65" s="235">
        <v>91393</v>
      </c>
      <c r="L65" s="235">
        <v>157890</v>
      </c>
      <c r="M65" s="235">
        <v>-70748</v>
      </c>
      <c r="N65" s="235">
        <v>1187</v>
      </c>
      <c r="O65" s="235">
        <v>0</v>
      </c>
      <c r="P65" s="235">
        <v>150000</v>
      </c>
      <c r="Q65" s="237">
        <v>-219561</v>
      </c>
    </row>
    <row r="66" spans="1:17" ht="21" customHeight="1" thickBot="1">
      <c r="A66" s="239" t="s">
        <v>282</v>
      </c>
      <c r="B66" s="240">
        <f>SUM(B19:B65)</f>
        <v>220009495</v>
      </c>
      <c r="C66" s="242">
        <f>SUM(C19:C65)</f>
        <v>213145730</v>
      </c>
      <c r="D66" s="240">
        <f aca="true" t="shared" si="1" ref="D66:I66">SUM(D19:D65)</f>
        <v>217614028</v>
      </c>
      <c r="E66" s="242">
        <f t="shared" si="1"/>
        <v>211022161</v>
      </c>
      <c r="F66" s="242">
        <f t="shared" si="1"/>
        <v>221223939</v>
      </c>
      <c r="G66" s="242">
        <f t="shared" si="1"/>
        <v>214897056</v>
      </c>
      <c r="H66" s="242">
        <f t="shared" si="1"/>
        <v>227539466</v>
      </c>
      <c r="I66" s="242">
        <f t="shared" si="1"/>
        <v>220979882</v>
      </c>
      <c r="J66" s="242">
        <f aca="true" t="shared" si="2" ref="J66:Q66">SUM(J19:J65)</f>
        <v>6863765</v>
      </c>
      <c r="K66" s="242">
        <f t="shared" si="2"/>
        <v>877078</v>
      </c>
      <c r="L66" s="242">
        <f t="shared" si="2"/>
        <v>5986687</v>
      </c>
      <c r="M66" s="242">
        <f t="shared" si="2"/>
        <v>-333252</v>
      </c>
      <c r="N66" s="242">
        <f t="shared" si="2"/>
        <v>3198188</v>
      </c>
      <c r="O66" s="242">
        <f t="shared" si="2"/>
        <v>1330484</v>
      </c>
      <c r="P66" s="242">
        <f t="shared" si="2"/>
        <v>3580446</v>
      </c>
      <c r="Q66" s="241">
        <f t="shared" si="2"/>
        <v>614974</v>
      </c>
    </row>
    <row r="67" spans="1:17" ht="19.5" customHeight="1" thickBot="1">
      <c r="A67" s="243" t="s">
        <v>267</v>
      </c>
      <c r="B67" s="244">
        <f>SUM(B5:B17,B19:B65)</f>
        <v>787836494</v>
      </c>
      <c r="C67" s="244">
        <f>SUM(C5:C17,C19:C65)</f>
        <v>765359946</v>
      </c>
      <c r="D67" s="244">
        <f>SUM(D5:D17,D19:D65)</f>
        <v>771860106</v>
      </c>
      <c r="E67" s="244">
        <f aca="true" t="shared" si="3" ref="E67:Q67">SUM(E5:E17,E19:E65)</f>
        <v>748535982</v>
      </c>
      <c r="F67" s="244">
        <f t="shared" si="3"/>
        <v>786490245</v>
      </c>
      <c r="G67" s="244">
        <f>SUM(G5:G17,G19:G65)</f>
        <v>761897546</v>
      </c>
      <c r="H67" s="244">
        <f>SUM(H5:H17,H19:H65)</f>
        <v>791293724</v>
      </c>
      <c r="I67" s="244">
        <f>SUM(I5:I17,I19:I65)</f>
        <v>765153740</v>
      </c>
      <c r="J67" s="244">
        <f t="shared" si="3"/>
        <v>22476548</v>
      </c>
      <c r="K67" s="244">
        <f t="shared" si="3"/>
        <v>2820784</v>
      </c>
      <c r="L67" s="244">
        <f t="shared" si="3"/>
        <v>19655764</v>
      </c>
      <c r="M67" s="244">
        <f t="shared" si="3"/>
        <v>-1839125</v>
      </c>
      <c r="N67" s="244">
        <f t="shared" si="3"/>
        <v>10938074</v>
      </c>
      <c r="O67" s="244">
        <f t="shared" si="3"/>
        <v>2206737</v>
      </c>
      <c r="P67" s="244">
        <f t="shared" si="3"/>
        <v>16246664</v>
      </c>
      <c r="Q67" s="245">
        <f t="shared" si="3"/>
        <v>-4940978</v>
      </c>
    </row>
    <row r="68" ht="15" thickTop="1"/>
    <row r="69" spans="2:17" ht="14.25">
      <c r="B69" s="238">
        <f>B18+B66</f>
        <v>787836494</v>
      </c>
      <c r="C69" s="238">
        <f aca="true" t="shared" si="4" ref="C69:Q69">C18+C66</f>
        <v>765359946</v>
      </c>
      <c r="D69" s="238">
        <f>D18+D66</f>
        <v>771860106</v>
      </c>
      <c r="E69" s="238">
        <f t="shared" si="4"/>
        <v>748535982</v>
      </c>
      <c r="F69" s="238"/>
      <c r="G69" s="238"/>
      <c r="H69" s="238"/>
      <c r="I69" s="238"/>
      <c r="J69" s="238">
        <f t="shared" si="4"/>
        <v>22476548</v>
      </c>
      <c r="K69" s="238">
        <f t="shared" si="4"/>
        <v>2820784</v>
      </c>
      <c r="L69" s="238">
        <f t="shared" si="4"/>
        <v>19655764</v>
      </c>
      <c r="M69" s="238">
        <f t="shared" si="4"/>
        <v>-1839125</v>
      </c>
      <c r="N69" s="238">
        <f t="shared" si="4"/>
        <v>10938074</v>
      </c>
      <c r="O69" s="238">
        <f t="shared" si="4"/>
        <v>2206737</v>
      </c>
      <c r="P69" s="238">
        <f t="shared" si="4"/>
        <v>16246664</v>
      </c>
      <c r="Q69" s="238">
        <f t="shared" si="4"/>
        <v>-4940978</v>
      </c>
    </row>
    <row r="73" ht="14.25">
      <c r="M73" s="216"/>
    </row>
  </sheetData>
  <mergeCells count="5">
    <mergeCell ref="B2:C2"/>
    <mergeCell ref="D2:E2"/>
    <mergeCell ref="H2:I2"/>
    <mergeCell ref="F4:I4"/>
    <mergeCell ref="F2:G2"/>
  </mergeCells>
  <printOptions/>
  <pageMargins left="0.75" right="0.75" top="1" bottom="1" header="0.512" footer="0.512"/>
  <pageSetup horizontalDpi="600" verticalDpi="600" orientation="portrait" paperSize="9" scale="5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D66"/>
  <sheetViews>
    <sheetView workbookViewId="0" topLeftCell="A1">
      <pane xSplit="2" ySplit="3" topLeftCell="CX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101" width="0" style="0" hidden="1" customWidth="1"/>
  </cols>
  <sheetData>
    <row r="1" spans="2:134" ht="13.5">
      <c r="B1" t="s">
        <v>289</v>
      </c>
      <c r="C1">
        <v>3</v>
      </c>
      <c r="D1">
        <v>3</v>
      </c>
      <c r="E1">
        <v>3</v>
      </c>
      <c r="F1">
        <v>3</v>
      </c>
      <c r="G1">
        <v>3</v>
      </c>
      <c r="H1">
        <v>3</v>
      </c>
      <c r="I1">
        <v>3</v>
      </c>
      <c r="J1">
        <v>3</v>
      </c>
      <c r="K1">
        <v>3</v>
      </c>
      <c r="L1">
        <v>3</v>
      </c>
      <c r="M1">
        <v>3</v>
      </c>
      <c r="N1">
        <v>3</v>
      </c>
      <c r="O1">
        <v>3</v>
      </c>
      <c r="P1">
        <v>3</v>
      </c>
      <c r="Q1">
        <v>3</v>
      </c>
      <c r="R1">
        <v>3</v>
      </c>
      <c r="S1">
        <v>3</v>
      </c>
      <c r="T1">
        <v>3</v>
      </c>
      <c r="U1">
        <v>3</v>
      </c>
      <c r="V1">
        <v>3</v>
      </c>
      <c r="W1">
        <v>3</v>
      </c>
      <c r="X1">
        <v>3</v>
      </c>
      <c r="Y1">
        <v>3</v>
      </c>
      <c r="Z1">
        <v>3</v>
      </c>
      <c r="AA1">
        <v>3</v>
      </c>
      <c r="AB1">
        <v>3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  <c r="AO1">
        <v>3</v>
      </c>
      <c r="AP1">
        <v>3</v>
      </c>
      <c r="AQ1">
        <v>3</v>
      </c>
      <c r="AR1">
        <v>3</v>
      </c>
      <c r="AS1">
        <v>3</v>
      </c>
      <c r="AT1">
        <v>3</v>
      </c>
      <c r="AU1">
        <v>3</v>
      </c>
      <c r="AV1">
        <v>3</v>
      </c>
      <c r="AW1">
        <v>3</v>
      </c>
      <c r="AX1">
        <v>3</v>
      </c>
      <c r="AY1">
        <v>3</v>
      </c>
      <c r="AZ1">
        <v>3</v>
      </c>
      <c r="BA1">
        <v>3</v>
      </c>
      <c r="BB1">
        <v>3</v>
      </c>
      <c r="BC1">
        <v>3</v>
      </c>
      <c r="BD1">
        <v>3</v>
      </c>
      <c r="BE1">
        <v>3</v>
      </c>
      <c r="BF1">
        <v>3</v>
      </c>
      <c r="BG1">
        <v>3</v>
      </c>
      <c r="BH1">
        <v>3</v>
      </c>
      <c r="BI1">
        <v>3</v>
      </c>
      <c r="BJ1">
        <v>3</v>
      </c>
      <c r="BK1">
        <v>3</v>
      </c>
      <c r="BL1">
        <v>3</v>
      </c>
      <c r="BM1">
        <v>3</v>
      </c>
      <c r="BN1">
        <v>3</v>
      </c>
      <c r="BO1">
        <v>3</v>
      </c>
      <c r="BP1">
        <v>3</v>
      </c>
      <c r="BQ1">
        <v>3</v>
      </c>
      <c r="BR1">
        <v>3</v>
      </c>
      <c r="BS1">
        <v>3</v>
      </c>
      <c r="BT1">
        <v>3</v>
      </c>
      <c r="BU1">
        <v>3</v>
      </c>
      <c r="BV1">
        <v>3</v>
      </c>
      <c r="BW1">
        <v>3</v>
      </c>
      <c r="BX1">
        <v>3</v>
      </c>
      <c r="BY1">
        <v>3</v>
      </c>
      <c r="BZ1">
        <v>3</v>
      </c>
      <c r="CA1">
        <v>3</v>
      </c>
      <c r="CB1">
        <v>3</v>
      </c>
      <c r="CC1">
        <v>3</v>
      </c>
      <c r="CD1">
        <v>3</v>
      </c>
      <c r="CE1">
        <v>3</v>
      </c>
      <c r="CF1">
        <v>3</v>
      </c>
      <c r="CG1">
        <v>3</v>
      </c>
      <c r="CH1">
        <v>3</v>
      </c>
      <c r="CI1">
        <v>3</v>
      </c>
      <c r="CJ1">
        <v>3</v>
      </c>
      <c r="CK1">
        <v>3</v>
      </c>
      <c r="CL1">
        <v>3</v>
      </c>
      <c r="CM1">
        <v>3</v>
      </c>
      <c r="CN1">
        <v>3</v>
      </c>
      <c r="CO1">
        <v>3</v>
      </c>
      <c r="CP1">
        <v>3</v>
      </c>
      <c r="CQ1">
        <v>3</v>
      </c>
      <c r="CR1">
        <v>3</v>
      </c>
      <c r="CS1">
        <v>3</v>
      </c>
      <c r="CT1">
        <v>3</v>
      </c>
      <c r="CU1">
        <v>3</v>
      </c>
      <c r="CV1">
        <v>3</v>
      </c>
      <c r="CW1">
        <v>3</v>
      </c>
      <c r="CX1">
        <v>3</v>
      </c>
      <c r="CY1">
        <v>3</v>
      </c>
      <c r="CZ1">
        <v>3</v>
      </c>
      <c r="DA1">
        <v>3</v>
      </c>
      <c r="DB1">
        <v>3</v>
      </c>
      <c r="DC1">
        <v>3</v>
      </c>
      <c r="DD1">
        <v>3</v>
      </c>
      <c r="DE1">
        <v>3</v>
      </c>
      <c r="DF1">
        <v>3</v>
      </c>
      <c r="DG1">
        <v>3</v>
      </c>
      <c r="DH1">
        <v>3</v>
      </c>
      <c r="DI1">
        <v>3</v>
      </c>
      <c r="DJ1">
        <v>3</v>
      </c>
      <c r="DK1">
        <v>3</v>
      </c>
      <c r="DL1">
        <v>3</v>
      </c>
      <c r="DM1">
        <v>3</v>
      </c>
      <c r="DN1">
        <v>3</v>
      </c>
      <c r="DO1">
        <v>3</v>
      </c>
      <c r="DP1">
        <v>3</v>
      </c>
      <c r="DQ1">
        <v>3</v>
      </c>
      <c r="DR1">
        <v>3</v>
      </c>
      <c r="DS1">
        <v>3</v>
      </c>
      <c r="DT1">
        <v>3</v>
      </c>
      <c r="DU1">
        <v>3</v>
      </c>
      <c r="DV1">
        <v>3</v>
      </c>
      <c r="DW1">
        <v>3</v>
      </c>
      <c r="DX1">
        <v>3</v>
      </c>
      <c r="DY1">
        <v>3</v>
      </c>
      <c r="DZ1">
        <v>3</v>
      </c>
      <c r="EA1">
        <v>3</v>
      </c>
      <c r="EB1">
        <v>3</v>
      </c>
      <c r="EC1">
        <v>3</v>
      </c>
      <c r="ED1">
        <v>3</v>
      </c>
    </row>
    <row r="2" spans="2:134" ht="13.5">
      <c r="B2" t="s">
        <v>290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2</v>
      </c>
      <c r="V2">
        <v>2</v>
      </c>
      <c r="W2">
        <v>2</v>
      </c>
      <c r="X2">
        <v>2</v>
      </c>
      <c r="Y2">
        <v>3</v>
      </c>
      <c r="Z2">
        <v>3</v>
      </c>
      <c r="AA2">
        <v>3</v>
      </c>
      <c r="AB2">
        <v>3</v>
      </c>
      <c r="AC2">
        <v>3</v>
      </c>
      <c r="AD2">
        <v>3</v>
      </c>
      <c r="AE2">
        <v>3</v>
      </c>
      <c r="AF2">
        <v>3</v>
      </c>
      <c r="AG2">
        <v>3</v>
      </c>
      <c r="AH2">
        <v>3</v>
      </c>
      <c r="AI2">
        <v>3</v>
      </c>
      <c r="AJ2">
        <v>4</v>
      </c>
      <c r="AK2">
        <v>4</v>
      </c>
      <c r="AL2">
        <v>4</v>
      </c>
      <c r="AM2">
        <v>4</v>
      </c>
      <c r="AN2">
        <v>4</v>
      </c>
      <c r="AO2">
        <v>4</v>
      </c>
      <c r="AP2">
        <v>4</v>
      </c>
      <c r="AQ2">
        <v>4</v>
      </c>
      <c r="AR2">
        <v>4</v>
      </c>
      <c r="AS2">
        <v>4</v>
      </c>
      <c r="AT2">
        <v>4</v>
      </c>
      <c r="AU2">
        <v>5</v>
      </c>
      <c r="AV2">
        <v>5</v>
      </c>
      <c r="AW2">
        <v>5</v>
      </c>
      <c r="AX2">
        <v>5</v>
      </c>
      <c r="AY2">
        <v>5</v>
      </c>
      <c r="AZ2">
        <v>5</v>
      </c>
      <c r="BA2">
        <v>5</v>
      </c>
      <c r="BB2">
        <v>5</v>
      </c>
      <c r="BC2">
        <v>5</v>
      </c>
      <c r="BD2">
        <v>5</v>
      </c>
      <c r="BE2">
        <v>5</v>
      </c>
      <c r="BF2">
        <v>6</v>
      </c>
      <c r="BG2">
        <v>6</v>
      </c>
      <c r="BH2">
        <v>6</v>
      </c>
      <c r="BI2">
        <v>6</v>
      </c>
      <c r="BJ2">
        <v>6</v>
      </c>
      <c r="BK2">
        <v>6</v>
      </c>
      <c r="BL2">
        <v>6</v>
      </c>
      <c r="BM2">
        <v>6</v>
      </c>
      <c r="BN2">
        <v>6</v>
      </c>
      <c r="BO2">
        <v>6</v>
      </c>
      <c r="BP2">
        <v>6</v>
      </c>
      <c r="BQ2">
        <v>7</v>
      </c>
      <c r="BR2">
        <v>7</v>
      </c>
      <c r="BS2">
        <v>7</v>
      </c>
      <c r="BT2">
        <v>7</v>
      </c>
      <c r="BU2">
        <v>7</v>
      </c>
      <c r="BV2">
        <v>7</v>
      </c>
      <c r="BW2">
        <v>7</v>
      </c>
      <c r="BX2">
        <v>7</v>
      </c>
      <c r="BY2">
        <v>7</v>
      </c>
      <c r="BZ2">
        <v>7</v>
      </c>
      <c r="CA2">
        <v>7</v>
      </c>
      <c r="CB2">
        <v>8</v>
      </c>
      <c r="CC2">
        <v>8</v>
      </c>
      <c r="CD2">
        <v>8</v>
      </c>
      <c r="CE2">
        <v>8</v>
      </c>
      <c r="CF2">
        <v>8</v>
      </c>
      <c r="CG2">
        <v>8</v>
      </c>
      <c r="CH2">
        <v>8</v>
      </c>
      <c r="CI2">
        <v>8</v>
      </c>
      <c r="CJ2">
        <v>8</v>
      </c>
      <c r="CK2">
        <v>8</v>
      </c>
      <c r="CL2">
        <v>8</v>
      </c>
      <c r="CM2">
        <v>9</v>
      </c>
      <c r="CN2">
        <v>9</v>
      </c>
      <c r="CO2">
        <v>9</v>
      </c>
      <c r="CP2">
        <v>9</v>
      </c>
      <c r="CQ2">
        <v>9</v>
      </c>
      <c r="CR2">
        <v>9</v>
      </c>
      <c r="CS2">
        <v>9</v>
      </c>
      <c r="CT2">
        <v>9</v>
      </c>
      <c r="CU2">
        <v>9</v>
      </c>
      <c r="CV2">
        <v>9</v>
      </c>
      <c r="CW2">
        <v>9</v>
      </c>
      <c r="CX2">
        <v>10</v>
      </c>
      <c r="CY2">
        <v>10</v>
      </c>
      <c r="CZ2">
        <v>10</v>
      </c>
      <c r="DA2">
        <v>10</v>
      </c>
      <c r="DB2">
        <v>10</v>
      </c>
      <c r="DC2">
        <v>10</v>
      </c>
      <c r="DD2">
        <v>10</v>
      </c>
      <c r="DE2">
        <v>10</v>
      </c>
      <c r="DF2">
        <v>10</v>
      </c>
      <c r="DG2">
        <v>10</v>
      </c>
      <c r="DH2">
        <v>10</v>
      </c>
      <c r="DI2">
        <v>11</v>
      </c>
      <c r="DJ2">
        <v>11</v>
      </c>
      <c r="DK2">
        <v>11</v>
      </c>
      <c r="DL2">
        <v>11</v>
      </c>
      <c r="DM2">
        <v>11</v>
      </c>
      <c r="DN2">
        <v>11</v>
      </c>
      <c r="DO2">
        <v>11</v>
      </c>
      <c r="DP2">
        <v>11</v>
      </c>
      <c r="DQ2">
        <v>11</v>
      </c>
      <c r="DR2">
        <v>11</v>
      </c>
      <c r="DS2">
        <v>11</v>
      </c>
      <c r="DT2">
        <v>12</v>
      </c>
      <c r="DU2">
        <v>12</v>
      </c>
      <c r="DV2">
        <v>12</v>
      </c>
      <c r="DW2">
        <v>12</v>
      </c>
      <c r="DX2">
        <v>12</v>
      </c>
      <c r="DY2">
        <v>12</v>
      </c>
      <c r="DZ2">
        <v>12</v>
      </c>
      <c r="EA2">
        <v>12</v>
      </c>
      <c r="EB2">
        <v>12</v>
      </c>
      <c r="EC2">
        <v>12</v>
      </c>
      <c r="ED2">
        <v>12</v>
      </c>
    </row>
    <row r="3" spans="2:134" ht="13.5">
      <c r="B3" t="s">
        <v>291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</v>
      </c>
      <c r="O3">
        <v>2</v>
      </c>
      <c r="P3">
        <v>3</v>
      </c>
      <c r="Q3">
        <v>4</v>
      </c>
      <c r="R3">
        <v>5</v>
      </c>
      <c r="S3">
        <v>6</v>
      </c>
      <c r="T3">
        <v>7</v>
      </c>
      <c r="U3">
        <v>8</v>
      </c>
      <c r="V3">
        <v>9</v>
      </c>
      <c r="W3">
        <v>10</v>
      </c>
      <c r="X3">
        <v>11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</v>
      </c>
      <c r="AK3">
        <v>2</v>
      </c>
      <c r="AL3">
        <v>3</v>
      </c>
      <c r="AM3">
        <v>4</v>
      </c>
      <c r="AN3">
        <v>5</v>
      </c>
      <c r="AO3">
        <v>6</v>
      </c>
      <c r="AP3">
        <v>7</v>
      </c>
      <c r="AQ3">
        <v>8</v>
      </c>
      <c r="AR3">
        <v>9</v>
      </c>
      <c r="AS3">
        <v>10</v>
      </c>
      <c r="AT3">
        <v>11</v>
      </c>
      <c r="AU3">
        <v>1</v>
      </c>
      <c r="AV3">
        <v>2</v>
      </c>
      <c r="AW3">
        <v>3</v>
      </c>
      <c r="AX3">
        <v>4</v>
      </c>
      <c r="AY3">
        <v>5</v>
      </c>
      <c r="AZ3">
        <v>6</v>
      </c>
      <c r="BA3">
        <v>7</v>
      </c>
      <c r="BB3">
        <v>8</v>
      </c>
      <c r="BC3">
        <v>9</v>
      </c>
      <c r="BD3">
        <v>10</v>
      </c>
      <c r="BE3">
        <v>11</v>
      </c>
      <c r="BF3">
        <v>1</v>
      </c>
      <c r="BG3">
        <v>2</v>
      </c>
      <c r="BH3">
        <v>3</v>
      </c>
      <c r="BI3">
        <v>4</v>
      </c>
      <c r="BJ3">
        <v>5</v>
      </c>
      <c r="BK3">
        <v>6</v>
      </c>
      <c r="BL3">
        <v>7</v>
      </c>
      <c r="BM3">
        <v>8</v>
      </c>
      <c r="BN3">
        <v>9</v>
      </c>
      <c r="BO3">
        <v>10</v>
      </c>
      <c r="BP3">
        <v>11</v>
      </c>
      <c r="BQ3">
        <v>1</v>
      </c>
      <c r="BR3">
        <v>2</v>
      </c>
      <c r="BS3">
        <v>3</v>
      </c>
      <c r="BT3">
        <v>4</v>
      </c>
      <c r="BU3">
        <v>5</v>
      </c>
      <c r="BV3">
        <v>6</v>
      </c>
      <c r="BW3">
        <v>7</v>
      </c>
      <c r="BX3">
        <v>8</v>
      </c>
      <c r="BY3">
        <v>9</v>
      </c>
      <c r="BZ3">
        <v>10</v>
      </c>
      <c r="CA3">
        <v>11</v>
      </c>
      <c r="CB3">
        <v>1</v>
      </c>
      <c r="CC3">
        <v>2</v>
      </c>
      <c r="CD3">
        <v>3</v>
      </c>
      <c r="CE3">
        <v>4</v>
      </c>
      <c r="CF3">
        <v>5</v>
      </c>
      <c r="CG3">
        <v>6</v>
      </c>
      <c r="CH3">
        <v>7</v>
      </c>
      <c r="CI3">
        <v>8</v>
      </c>
      <c r="CJ3">
        <v>9</v>
      </c>
      <c r="CK3">
        <v>10</v>
      </c>
      <c r="CL3">
        <v>11</v>
      </c>
      <c r="CM3">
        <v>1</v>
      </c>
      <c r="CN3">
        <v>2</v>
      </c>
      <c r="CO3">
        <v>3</v>
      </c>
      <c r="CP3">
        <v>4</v>
      </c>
      <c r="CQ3">
        <v>5</v>
      </c>
      <c r="CR3">
        <v>6</v>
      </c>
      <c r="CS3">
        <v>7</v>
      </c>
      <c r="CT3">
        <v>8</v>
      </c>
      <c r="CU3">
        <v>9</v>
      </c>
      <c r="CV3">
        <v>10</v>
      </c>
      <c r="CW3">
        <v>11</v>
      </c>
      <c r="CX3">
        <v>1</v>
      </c>
      <c r="CY3">
        <v>2</v>
      </c>
      <c r="CZ3">
        <v>3</v>
      </c>
      <c r="DA3">
        <v>4</v>
      </c>
      <c r="DB3">
        <v>5</v>
      </c>
      <c r="DC3">
        <v>6</v>
      </c>
      <c r="DD3">
        <v>7</v>
      </c>
      <c r="DE3">
        <v>8</v>
      </c>
      <c r="DF3">
        <v>9</v>
      </c>
      <c r="DG3">
        <v>10</v>
      </c>
      <c r="DH3">
        <v>11</v>
      </c>
      <c r="DI3">
        <v>1</v>
      </c>
      <c r="DJ3">
        <v>2</v>
      </c>
      <c r="DK3">
        <v>3</v>
      </c>
      <c r="DL3">
        <v>4</v>
      </c>
      <c r="DM3">
        <v>5</v>
      </c>
      <c r="DN3">
        <v>6</v>
      </c>
      <c r="DO3">
        <v>7</v>
      </c>
      <c r="DP3">
        <v>8</v>
      </c>
      <c r="DQ3">
        <v>9</v>
      </c>
      <c r="DR3">
        <v>10</v>
      </c>
      <c r="DS3">
        <v>11</v>
      </c>
      <c r="DT3">
        <v>1</v>
      </c>
      <c r="DU3">
        <v>2</v>
      </c>
      <c r="DV3">
        <v>3</v>
      </c>
      <c r="DW3">
        <v>4</v>
      </c>
      <c r="DX3">
        <v>5</v>
      </c>
      <c r="DY3">
        <v>6</v>
      </c>
      <c r="DZ3">
        <v>7</v>
      </c>
      <c r="EA3">
        <v>8</v>
      </c>
      <c r="EB3">
        <v>9</v>
      </c>
      <c r="EC3">
        <v>10</v>
      </c>
      <c r="ED3">
        <v>11</v>
      </c>
    </row>
    <row r="4" spans="1:134" ht="13.5">
      <c r="A4" t="str">
        <f>T("072010")</f>
        <v>072010</v>
      </c>
      <c r="B4" t="s">
        <v>436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277179</v>
      </c>
      <c r="O4">
        <v>697282</v>
      </c>
      <c r="P4">
        <v>0</v>
      </c>
      <c r="Q4">
        <v>0</v>
      </c>
      <c r="R4">
        <v>0</v>
      </c>
      <c r="S4">
        <v>974461</v>
      </c>
      <c r="T4">
        <v>641942</v>
      </c>
      <c r="U4">
        <v>325866</v>
      </c>
      <c r="V4">
        <v>62200</v>
      </c>
      <c r="W4">
        <v>253876</v>
      </c>
      <c r="X4">
        <v>332519</v>
      </c>
      <c r="Y4">
        <v>219088</v>
      </c>
      <c r="Z4">
        <v>205629</v>
      </c>
      <c r="AA4">
        <v>0</v>
      </c>
      <c r="AB4">
        <v>0</v>
      </c>
      <c r="AC4">
        <v>0</v>
      </c>
      <c r="AD4">
        <v>424717</v>
      </c>
      <c r="AE4">
        <v>344066</v>
      </c>
      <c r="AF4">
        <v>325866</v>
      </c>
      <c r="AG4">
        <v>18200</v>
      </c>
      <c r="AH4">
        <v>0</v>
      </c>
      <c r="AI4">
        <v>80651</v>
      </c>
      <c r="AJ4">
        <v>58091</v>
      </c>
      <c r="AK4">
        <v>491653</v>
      </c>
      <c r="AL4">
        <v>0</v>
      </c>
      <c r="AM4">
        <v>0</v>
      </c>
      <c r="AN4">
        <v>0</v>
      </c>
      <c r="AO4">
        <v>549744</v>
      </c>
      <c r="AP4">
        <v>297876</v>
      </c>
      <c r="AQ4">
        <v>0</v>
      </c>
      <c r="AR4">
        <v>44000</v>
      </c>
      <c r="AS4">
        <v>253876</v>
      </c>
      <c r="AT4">
        <v>251868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65374</v>
      </c>
      <c r="BH4">
        <v>0</v>
      </c>
      <c r="BI4">
        <v>0</v>
      </c>
      <c r="BJ4">
        <v>0</v>
      </c>
      <c r="BK4">
        <v>65374</v>
      </c>
      <c r="BL4">
        <v>52080</v>
      </c>
      <c r="BM4">
        <v>34780</v>
      </c>
      <c r="BN4">
        <v>17300</v>
      </c>
      <c r="BO4">
        <v>0</v>
      </c>
      <c r="BP4">
        <v>13294</v>
      </c>
      <c r="BQ4">
        <v>0</v>
      </c>
      <c r="BR4">
        <v>52144</v>
      </c>
      <c r="BS4">
        <v>0</v>
      </c>
      <c r="BT4">
        <v>0</v>
      </c>
      <c r="BU4">
        <v>0</v>
      </c>
      <c r="BV4">
        <v>52144</v>
      </c>
      <c r="BW4">
        <v>52080</v>
      </c>
      <c r="BX4">
        <v>34780</v>
      </c>
      <c r="BY4">
        <v>17300</v>
      </c>
      <c r="BZ4">
        <v>0</v>
      </c>
      <c r="CA4">
        <v>64</v>
      </c>
      <c r="CB4">
        <v>0</v>
      </c>
      <c r="CC4">
        <v>13230</v>
      </c>
      <c r="CD4">
        <v>0</v>
      </c>
      <c r="CE4">
        <v>0</v>
      </c>
      <c r="CF4">
        <v>0</v>
      </c>
      <c r="CG4">
        <v>13230</v>
      </c>
      <c r="CH4">
        <v>0</v>
      </c>
      <c r="CI4">
        <v>0</v>
      </c>
      <c r="CJ4">
        <v>0</v>
      </c>
      <c r="CK4">
        <v>0</v>
      </c>
      <c r="CL4">
        <v>13230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277179</v>
      </c>
      <c r="CY4">
        <v>762656</v>
      </c>
      <c r="CZ4">
        <v>0</v>
      </c>
      <c r="DA4">
        <v>0</v>
      </c>
      <c r="DB4">
        <v>0</v>
      </c>
      <c r="DC4">
        <v>1039835</v>
      </c>
      <c r="DD4">
        <v>694022</v>
      </c>
      <c r="DE4">
        <v>360646</v>
      </c>
      <c r="DF4">
        <v>79500</v>
      </c>
      <c r="DG4">
        <v>253876</v>
      </c>
      <c r="DH4">
        <v>345813</v>
      </c>
      <c r="DI4">
        <v>219087</v>
      </c>
      <c r="DJ4">
        <v>474935</v>
      </c>
      <c r="DK4">
        <v>0</v>
      </c>
      <c r="DL4">
        <v>0</v>
      </c>
      <c r="DM4">
        <v>0</v>
      </c>
      <c r="DN4">
        <v>694022</v>
      </c>
      <c r="DO4">
        <v>0</v>
      </c>
      <c r="DP4">
        <v>0</v>
      </c>
      <c r="DQ4">
        <v>0</v>
      </c>
      <c r="DR4">
        <v>0</v>
      </c>
      <c r="DS4">
        <v>0</v>
      </c>
      <c r="DT4">
        <v>58092</v>
      </c>
      <c r="DU4">
        <v>287721</v>
      </c>
      <c r="DV4">
        <v>0</v>
      </c>
      <c r="DW4">
        <v>0</v>
      </c>
      <c r="DX4">
        <v>0</v>
      </c>
      <c r="DY4">
        <v>345813</v>
      </c>
      <c r="DZ4">
        <v>0</v>
      </c>
      <c r="EA4">
        <v>0</v>
      </c>
      <c r="EB4">
        <v>0</v>
      </c>
      <c r="EC4">
        <v>0</v>
      </c>
      <c r="ED4">
        <v>0</v>
      </c>
    </row>
    <row r="5" spans="1:134" ht="13.5">
      <c r="A5" t="str">
        <f>T("072028")</f>
        <v>072028</v>
      </c>
      <c r="B5" t="s">
        <v>210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154874</v>
      </c>
      <c r="P5">
        <v>5951</v>
      </c>
      <c r="Q5">
        <v>0</v>
      </c>
      <c r="R5">
        <v>0</v>
      </c>
      <c r="S5">
        <v>160825</v>
      </c>
      <c r="T5">
        <v>160327</v>
      </c>
      <c r="U5">
        <v>15000</v>
      </c>
      <c r="V5">
        <v>116900</v>
      </c>
      <c r="W5">
        <v>28427</v>
      </c>
      <c r="X5">
        <v>498</v>
      </c>
      <c r="Y5">
        <v>0</v>
      </c>
      <c r="Z5">
        <v>15000</v>
      </c>
      <c r="AA5">
        <v>0</v>
      </c>
      <c r="AB5">
        <v>0</v>
      </c>
      <c r="AC5">
        <v>0</v>
      </c>
      <c r="AD5">
        <v>15000</v>
      </c>
      <c r="AE5">
        <v>15000</v>
      </c>
      <c r="AF5">
        <v>15000</v>
      </c>
      <c r="AG5">
        <v>0</v>
      </c>
      <c r="AH5">
        <v>0</v>
      </c>
      <c r="AI5">
        <v>0</v>
      </c>
      <c r="AJ5">
        <v>0</v>
      </c>
      <c r="AK5">
        <v>139874</v>
      </c>
      <c r="AL5">
        <v>5951</v>
      </c>
      <c r="AM5">
        <v>0</v>
      </c>
      <c r="AN5">
        <v>0</v>
      </c>
      <c r="AO5">
        <v>145825</v>
      </c>
      <c r="AP5">
        <v>145327</v>
      </c>
      <c r="AQ5">
        <v>0</v>
      </c>
      <c r="AR5">
        <v>116900</v>
      </c>
      <c r="AS5">
        <v>28427</v>
      </c>
      <c r="AT5">
        <v>498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154874</v>
      </c>
      <c r="CZ5">
        <v>5951</v>
      </c>
      <c r="DA5">
        <v>0</v>
      </c>
      <c r="DB5">
        <v>0</v>
      </c>
      <c r="DC5">
        <v>160825</v>
      </c>
      <c r="DD5">
        <v>160327</v>
      </c>
      <c r="DE5">
        <v>15000</v>
      </c>
      <c r="DF5">
        <v>116900</v>
      </c>
      <c r="DG5">
        <v>28427</v>
      </c>
      <c r="DH5">
        <v>498</v>
      </c>
      <c r="DI5">
        <v>0</v>
      </c>
      <c r="DJ5">
        <v>154427</v>
      </c>
      <c r="DK5">
        <v>5900</v>
      </c>
      <c r="DL5">
        <v>0</v>
      </c>
      <c r="DM5">
        <v>0</v>
      </c>
      <c r="DN5">
        <v>160327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447</v>
      </c>
      <c r="DV5">
        <v>51</v>
      </c>
      <c r="DW5">
        <v>0</v>
      </c>
      <c r="DX5">
        <v>0</v>
      </c>
      <c r="DY5">
        <v>498</v>
      </c>
      <c r="DZ5">
        <v>0</v>
      </c>
      <c r="EA5">
        <v>0</v>
      </c>
      <c r="EB5">
        <v>0</v>
      </c>
      <c r="EC5">
        <v>0</v>
      </c>
      <c r="ED5">
        <v>0</v>
      </c>
    </row>
    <row r="6" spans="1:134" ht="13.5">
      <c r="A6" t="str">
        <f>T("072036")</f>
        <v>072036</v>
      </c>
      <c r="B6" t="s">
        <v>211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1888089</v>
      </c>
      <c r="P6">
        <v>8960</v>
      </c>
      <c r="Q6">
        <v>0</v>
      </c>
      <c r="R6">
        <v>0</v>
      </c>
      <c r="S6">
        <v>1897049</v>
      </c>
      <c r="T6">
        <v>1231284</v>
      </c>
      <c r="U6">
        <v>535725</v>
      </c>
      <c r="V6">
        <v>234100</v>
      </c>
      <c r="W6">
        <v>461459</v>
      </c>
      <c r="X6">
        <v>665765</v>
      </c>
      <c r="Y6">
        <v>0</v>
      </c>
      <c r="Z6">
        <v>1331868</v>
      </c>
      <c r="AA6">
        <v>0</v>
      </c>
      <c r="AB6">
        <v>0</v>
      </c>
      <c r="AC6">
        <v>0</v>
      </c>
      <c r="AD6">
        <v>1331868</v>
      </c>
      <c r="AE6">
        <v>890247</v>
      </c>
      <c r="AF6">
        <v>535725</v>
      </c>
      <c r="AG6">
        <v>130900</v>
      </c>
      <c r="AH6">
        <v>223622</v>
      </c>
      <c r="AI6">
        <v>441621</v>
      </c>
      <c r="AJ6">
        <v>0</v>
      </c>
      <c r="AK6">
        <v>556221</v>
      </c>
      <c r="AL6">
        <v>8960</v>
      </c>
      <c r="AM6">
        <v>0</v>
      </c>
      <c r="AN6">
        <v>0</v>
      </c>
      <c r="AO6">
        <v>565181</v>
      </c>
      <c r="AP6">
        <v>341037</v>
      </c>
      <c r="AQ6">
        <v>0</v>
      </c>
      <c r="AR6">
        <v>103200</v>
      </c>
      <c r="AS6">
        <v>237837</v>
      </c>
      <c r="AT6">
        <v>224144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1888089</v>
      </c>
      <c r="CZ6">
        <v>8960</v>
      </c>
      <c r="DA6">
        <v>0</v>
      </c>
      <c r="DB6">
        <v>0</v>
      </c>
      <c r="DC6">
        <v>1897049</v>
      </c>
      <c r="DD6">
        <v>1231284</v>
      </c>
      <c r="DE6">
        <v>535725</v>
      </c>
      <c r="DF6">
        <v>234100</v>
      </c>
      <c r="DG6">
        <v>461459</v>
      </c>
      <c r="DH6">
        <v>665765</v>
      </c>
      <c r="DI6">
        <v>0</v>
      </c>
      <c r="DJ6">
        <v>1231284</v>
      </c>
      <c r="DK6">
        <v>0</v>
      </c>
      <c r="DL6">
        <v>0</v>
      </c>
      <c r="DM6">
        <v>0</v>
      </c>
      <c r="DN6">
        <v>1231284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656805</v>
      </c>
      <c r="DV6">
        <v>8960</v>
      </c>
      <c r="DW6">
        <v>0</v>
      </c>
      <c r="DX6">
        <v>0</v>
      </c>
      <c r="DY6">
        <v>665765</v>
      </c>
      <c r="DZ6">
        <v>0</v>
      </c>
      <c r="EA6">
        <v>0</v>
      </c>
      <c r="EB6">
        <v>0</v>
      </c>
      <c r="EC6">
        <v>0</v>
      </c>
      <c r="ED6">
        <v>0</v>
      </c>
    </row>
    <row r="7" spans="1:134" ht="13.5">
      <c r="A7" t="str">
        <f>T("072044")</f>
        <v>072044</v>
      </c>
      <c r="B7" t="s">
        <v>212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267842</v>
      </c>
      <c r="O7">
        <v>1819128</v>
      </c>
      <c r="P7">
        <v>0</v>
      </c>
      <c r="Q7">
        <v>0</v>
      </c>
      <c r="R7">
        <v>0</v>
      </c>
      <c r="S7">
        <v>2086970</v>
      </c>
      <c r="T7">
        <v>1653833</v>
      </c>
      <c r="U7">
        <v>460663</v>
      </c>
      <c r="V7">
        <v>832700</v>
      </c>
      <c r="W7">
        <v>360470</v>
      </c>
      <c r="X7">
        <v>433137</v>
      </c>
      <c r="Y7">
        <v>0</v>
      </c>
      <c r="Z7">
        <v>1031331</v>
      </c>
      <c r="AA7">
        <v>0</v>
      </c>
      <c r="AB7">
        <v>0</v>
      </c>
      <c r="AC7">
        <v>0</v>
      </c>
      <c r="AD7">
        <v>1031331</v>
      </c>
      <c r="AE7">
        <v>919363</v>
      </c>
      <c r="AF7">
        <v>460663</v>
      </c>
      <c r="AG7">
        <v>458700</v>
      </c>
      <c r="AH7">
        <v>0</v>
      </c>
      <c r="AI7">
        <v>111968</v>
      </c>
      <c r="AJ7">
        <v>267842</v>
      </c>
      <c r="AK7">
        <v>787797</v>
      </c>
      <c r="AL7">
        <v>0</v>
      </c>
      <c r="AM7">
        <v>0</v>
      </c>
      <c r="AN7">
        <v>0</v>
      </c>
      <c r="AO7">
        <v>1055639</v>
      </c>
      <c r="AP7">
        <v>734470</v>
      </c>
      <c r="AQ7">
        <v>0</v>
      </c>
      <c r="AR7">
        <v>374000</v>
      </c>
      <c r="AS7">
        <v>360470</v>
      </c>
      <c r="AT7">
        <v>321169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126682</v>
      </c>
      <c r="BH7">
        <v>0</v>
      </c>
      <c r="BI7">
        <v>0</v>
      </c>
      <c r="BJ7">
        <v>0</v>
      </c>
      <c r="BK7">
        <v>126682</v>
      </c>
      <c r="BL7">
        <v>78316</v>
      </c>
      <c r="BM7">
        <v>39280</v>
      </c>
      <c r="BN7">
        <v>17200</v>
      </c>
      <c r="BO7">
        <v>21836</v>
      </c>
      <c r="BP7">
        <v>48366</v>
      </c>
      <c r="BQ7">
        <v>0</v>
      </c>
      <c r="BR7">
        <v>49610</v>
      </c>
      <c r="BS7">
        <v>0</v>
      </c>
      <c r="BT7">
        <v>0</v>
      </c>
      <c r="BU7">
        <v>0</v>
      </c>
      <c r="BV7">
        <v>49610</v>
      </c>
      <c r="BW7">
        <v>49480</v>
      </c>
      <c r="BX7">
        <v>39280</v>
      </c>
      <c r="BY7">
        <v>10200</v>
      </c>
      <c r="BZ7">
        <v>0</v>
      </c>
      <c r="CA7">
        <v>130</v>
      </c>
      <c r="CB7">
        <v>0</v>
      </c>
      <c r="CC7">
        <v>77072</v>
      </c>
      <c r="CD7">
        <v>0</v>
      </c>
      <c r="CE7">
        <v>0</v>
      </c>
      <c r="CF7">
        <v>0</v>
      </c>
      <c r="CG7">
        <v>77072</v>
      </c>
      <c r="CH7">
        <v>28836</v>
      </c>
      <c r="CI7">
        <v>0</v>
      </c>
      <c r="CJ7">
        <v>7000</v>
      </c>
      <c r="CK7">
        <v>21836</v>
      </c>
      <c r="CL7">
        <v>48236</v>
      </c>
      <c r="CM7">
        <v>0</v>
      </c>
      <c r="CN7">
        <v>0</v>
      </c>
      <c r="CO7">
        <v>0</v>
      </c>
      <c r="CP7">
        <v>14217</v>
      </c>
      <c r="CQ7">
        <v>0</v>
      </c>
      <c r="CR7">
        <v>14217</v>
      </c>
      <c r="CS7">
        <v>0</v>
      </c>
      <c r="CT7">
        <v>0</v>
      </c>
      <c r="CU7">
        <v>0</v>
      </c>
      <c r="CV7">
        <v>0</v>
      </c>
      <c r="CW7">
        <v>14217</v>
      </c>
      <c r="CX7">
        <v>267842</v>
      </c>
      <c r="CY7">
        <v>1945810</v>
      </c>
      <c r="CZ7">
        <v>0</v>
      </c>
      <c r="DA7">
        <v>14217</v>
      </c>
      <c r="DB7">
        <v>0</v>
      </c>
      <c r="DC7">
        <v>2227869</v>
      </c>
      <c r="DD7">
        <v>1732149</v>
      </c>
      <c r="DE7">
        <v>499943</v>
      </c>
      <c r="DF7">
        <v>849900</v>
      </c>
      <c r="DG7">
        <v>382306</v>
      </c>
      <c r="DH7">
        <v>495720</v>
      </c>
      <c r="DI7">
        <v>85239</v>
      </c>
      <c r="DJ7">
        <v>1646910</v>
      </c>
      <c r="DK7">
        <v>0</v>
      </c>
      <c r="DL7">
        <v>0</v>
      </c>
      <c r="DM7">
        <v>0</v>
      </c>
      <c r="DN7">
        <v>1732149</v>
      </c>
      <c r="DO7">
        <v>0</v>
      </c>
      <c r="DP7">
        <v>0</v>
      </c>
      <c r="DQ7">
        <v>0</v>
      </c>
      <c r="DR7">
        <v>0</v>
      </c>
      <c r="DS7">
        <v>0</v>
      </c>
      <c r="DT7">
        <v>182603</v>
      </c>
      <c r="DU7">
        <v>298900</v>
      </c>
      <c r="DV7">
        <v>0</v>
      </c>
      <c r="DW7">
        <v>14217</v>
      </c>
      <c r="DX7">
        <v>0</v>
      </c>
      <c r="DY7">
        <v>495720</v>
      </c>
      <c r="DZ7">
        <v>0</v>
      </c>
      <c r="EA7">
        <v>0</v>
      </c>
      <c r="EB7">
        <v>0</v>
      </c>
      <c r="EC7">
        <v>0</v>
      </c>
      <c r="ED7">
        <v>0</v>
      </c>
    </row>
    <row r="8" spans="1:134" ht="13.5">
      <c r="A8" t="str">
        <f>T("072052")</f>
        <v>072052</v>
      </c>
      <c r="B8" t="s">
        <v>213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237715</v>
      </c>
      <c r="P8">
        <v>0</v>
      </c>
      <c r="Q8">
        <v>0</v>
      </c>
      <c r="R8">
        <v>0</v>
      </c>
      <c r="S8">
        <v>237716</v>
      </c>
      <c r="T8">
        <v>160872</v>
      </c>
      <c r="U8">
        <v>0</v>
      </c>
      <c r="V8">
        <v>136900</v>
      </c>
      <c r="W8">
        <v>23972</v>
      </c>
      <c r="X8">
        <v>76844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237715</v>
      </c>
      <c r="AL8">
        <v>0</v>
      </c>
      <c r="AM8">
        <v>0</v>
      </c>
      <c r="AN8">
        <v>0</v>
      </c>
      <c r="AO8">
        <v>237716</v>
      </c>
      <c r="AP8">
        <v>160872</v>
      </c>
      <c r="AQ8">
        <v>0</v>
      </c>
      <c r="AR8">
        <v>136900</v>
      </c>
      <c r="AS8">
        <v>23972</v>
      </c>
      <c r="AT8">
        <v>76844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1</v>
      </c>
      <c r="CY8">
        <v>237715</v>
      </c>
      <c r="CZ8">
        <v>0</v>
      </c>
      <c r="DA8">
        <v>0</v>
      </c>
      <c r="DB8">
        <v>0</v>
      </c>
      <c r="DC8">
        <v>237716</v>
      </c>
      <c r="DD8">
        <v>160872</v>
      </c>
      <c r="DE8">
        <v>0</v>
      </c>
      <c r="DF8">
        <v>136900</v>
      </c>
      <c r="DG8">
        <v>23972</v>
      </c>
      <c r="DH8">
        <v>76844</v>
      </c>
      <c r="DI8">
        <v>0</v>
      </c>
      <c r="DJ8">
        <v>160872</v>
      </c>
      <c r="DK8">
        <v>0</v>
      </c>
      <c r="DL8">
        <v>0</v>
      </c>
      <c r="DM8">
        <v>0</v>
      </c>
      <c r="DN8">
        <v>160872</v>
      </c>
      <c r="DO8">
        <v>0</v>
      </c>
      <c r="DP8">
        <v>0</v>
      </c>
      <c r="DQ8">
        <v>0</v>
      </c>
      <c r="DR8">
        <v>0</v>
      </c>
      <c r="DS8">
        <v>0</v>
      </c>
      <c r="DT8">
        <v>1</v>
      </c>
      <c r="DU8">
        <v>76843</v>
      </c>
      <c r="DV8">
        <v>0</v>
      </c>
      <c r="DW8">
        <v>0</v>
      </c>
      <c r="DX8">
        <v>0</v>
      </c>
      <c r="DY8">
        <v>76844</v>
      </c>
      <c r="DZ8">
        <v>0</v>
      </c>
      <c r="EA8">
        <v>0</v>
      </c>
      <c r="EB8">
        <v>0</v>
      </c>
      <c r="EC8">
        <v>0</v>
      </c>
      <c r="ED8">
        <v>0</v>
      </c>
    </row>
    <row r="9" spans="1:134" ht="13.5">
      <c r="A9" t="str">
        <f>T("072079")</f>
        <v>072079</v>
      </c>
      <c r="B9" t="s">
        <v>214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56835</v>
      </c>
      <c r="P9">
        <v>0</v>
      </c>
      <c r="Q9">
        <v>0</v>
      </c>
      <c r="R9">
        <v>0</v>
      </c>
      <c r="S9">
        <v>56835</v>
      </c>
      <c r="T9">
        <v>31260</v>
      </c>
      <c r="U9">
        <v>0</v>
      </c>
      <c r="V9">
        <v>0</v>
      </c>
      <c r="W9">
        <v>31260</v>
      </c>
      <c r="X9">
        <v>25575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56835</v>
      </c>
      <c r="AL9">
        <v>0</v>
      </c>
      <c r="AM9">
        <v>0</v>
      </c>
      <c r="AN9">
        <v>0</v>
      </c>
      <c r="AO9">
        <v>56835</v>
      </c>
      <c r="AP9">
        <v>31260</v>
      </c>
      <c r="AQ9">
        <v>0</v>
      </c>
      <c r="AR9">
        <v>0</v>
      </c>
      <c r="AS9">
        <v>31260</v>
      </c>
      <c r="AT9">
        <v>25575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1834</v>
      </c>
      <c r="CO9">
        <v>0</v>
      </c>
      <c r="CP9">
        <v>0</v>
      </c>
      <c r="CQ9">
        <v>0</v>
      </c>
      <c r="CR9">
        <v>1834</v>
      </c>
      <c r="CS9">
        <v>0</v>
      </c>
      <c r="CT9">
        <v>0</v>
      </c>
      <c r="CU9">
        <v>0</v>
      </c>
      <c r="CV9">
        <v>0</v>
      </c>
      <c r="CW9">
        <v>1834</v>
      </c>
      <c r="CX9">
        <v>0</v>
      </c>
      <c r="CY9">
        <v>58669</v>
      </c>
      <c r="CZ9">
        <v>0</v>
      </c>
      <c r="DA9">
        <v>0</v>
      </c>
      <c r="DB9">
        <v>0</v>
      </c>
      <c r="DC9">
        <v>58669</v>
      </c>
      <c r="DD9">
        <v>31260</v>
      </c>
      <c r="DE9">
        <v>0</v>
      </c>
      <c r="DF9">
        <v>0</v>
      </c>
      <c r="DG9">
        <v>31260</v>
      </c>
      <c r="DH9">
        <v>27409</v>
      </c>
      <c r="DI9">
        <v>0</v>
      </c>
      <c r="DJ9">
        <v>31260</v>
      </c>
      <c r="DK9">
        <v>0</v>
      </c>
      <c r="DL9">
        <v>0</v>
      </c>
      <c r="DM9">
        <v>0</v>
      </c>
      <c r="DN9">
        <v>31260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27409</v>
      </c>
      <c r="DV9">
        <v>0</v>
      </c>
      <c r="DW9">
        <v>0</v>
      </c>
      <c r="DX9">
        <v>0</v>
      </c>
      <c r="DY9">
        <v>27409</v>
      </c>
      <c r="DZ9">
        <v>0</v>
      </c>
      <c r="EA9">
        <v>0</v>
      </c>
      <c r="EB9">
        <v>0</v>
      </c>
      <c r="EC9">
        <v>0</v>
      </c>
      <c r="ED9">
        <v>0</v>
      </c>
    </row>
    <row r="10" spans="1:134" ht="13.5">
      <c r="A10" t="str">
        <f>T("072087")</f>
        <v>072087</v>
      </c>
      <c r="B10" t="s">
        <v>215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76342</v>
      </c>
      <c r="P10">
        <v>0</v>
      </c>
      <c r="Q10">
        <v>0</v>
      </c>
      <c r="R10">
        <v>0</v>
      </c>
      <c r="S10">
        <v>76342</v>
      </c>
      <c r="T10">
        <v>74378</v>
      </c>
      <c r="U10">
        <v>0</v>
      </c>
      <c r="V10">
        <v>42100</v>
      </c>
      <c r="W10">
        <v>32278</v>
      </c>
      <c r="X10">
        <v>1964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24597</v>
      </c>
      <c r="AL10">
        <v>0</v>
      </c>
      <c r="AM10">
        <v>0</v>
      </c>
      <c r="AN10">
        <v>0</v>
      </c>
      <c r="AO10">
        <v>24597</v>
      </c>
      <c r="AP10">
        <v>24153</v>
      </c>
      <c r="AQ10">
        <v>0</v>
      </c>
      <c r="AR10">
        <v>14000</v>
      </c>
      <c r="AS10">
        <v>10153</v>
      </c>
      <c r="AT10">
        <v>444</v>
      </c>
      <c r="AU10">
        <v>0</v>
      </c>
      <c r="AV10">
        <v>51745</v>
      </c>
      <c r="AW10">
        <v>0</v>
      </c>
      <c r="AX10">
        <v>0</v>
      </c>
      <c r="AY10">
        <v>0</v>
      </c>
      <c r="AZ10">
        <v>51745</v>
      </c>
      <c r="BA10">
        <v>50225</v>
      </c>
      <c r="BB10">
        <v>0</v>
      </c>
      <c r="BC10">
        <v>28100</v>
      </c>
      <c r="BD10">
        <v>22125</v>
      </c>
      <c r="BE10">
        <v>1520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8942</v>
      </c>
      <c r="CO10">
        <v>0</v>
      </c>
      <c r="CP10">
        <v>0</v>
      </c>
      <c r="CQ10">
        <v>0</v>
      </c>
      <c r="CR10">
        <v>8942</v>
      </c>
      <c r="CS10">
        <v>0</v>
      </c>
      <c r="CT10">
        <v>0</v>
      </c>
      <c r="CU10">
        <v>0</v>
      </c>
      <c r="CV10">
        <v>0</v>
      </c>
      <c r="CW10">
        <v>8942</v>
      </c>
      <c r="CX10">
        <v>0</v>
      </c>
      <c r="CY10">
        <v>85284</v>
      </c>
      <c r="CZ10">
        <v>0</v>
      </c>
      <c r="DA10">
        <v>0</v>
      </c>
      <c r="DB10">
        <v>0</v>
      </c>
      <c r="DC10">
        <v>85284</v>
      </c>
      <c r="DD10">
        <v>74378</v>
      </c>
      <c r="DE10">
        <v>0</v>
      </c>
      <c r="DF10">
        <v>42100</v>
      </c>
      <c r="DG10">
        <v>32278</v>
      </c>
      <c r="DH10">
        <v>10906</v>
      </c>
      <c r="DI10">
        <v>0</v>
      </c>
      <c r="DJ10">
        <v>74378</v>
      </c>
      <c r="DK10">
        <v>0</v>
      </c>
      <c r="DL10">
        <v>0</v>
      </c>
      <c r="DM10">
        <v>0</v>
      </c>
      <c r="DN10">
        <v>74378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10906</v>
      </c>
      <c r="DV10">
        <v>0</v>
      </c>
      <c r="DW10">
        <v>0</v>
      </c>
      <c r="DX10">
        <v>0</v>
      </c>
      <c r="DY10">
        <v>10906</v>
      </c>
      <c r="DZ10">
        <v>0</v>
      </c>
      <c r="EA10">
        <v>0</v>
      </c>
      <c r="EB10">
        <v>0</v>
      </c>
      <c r="EC10">
        <v>0</v>
      </c>
      <c r="ED10">
        <v>0</v>
      </c>
    </row>
    <row r="11" spans="1:134" ht="13.5">
      <c r="A11" t="str">
        <f>T("072095")</f>
        <v>072095</v>
      </c>
      <c r="B11" t="s">
        <v>216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</row>
    <row r="12" spans="1:134" ht="13.5">
      <c r="A12" t="str">
        <f>T("072109")</f>
        <v>072109</v>
      </c>
      <c r="B12" t="s">
        <v>217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334700</v>
      </c>
      <c r="O12">
        <v>896511</v>
      </c>
      <c r="P12">
        <v>0</v>
      </c>
      <c r="Q12">
        <v>0</v>
      </c>
      <c r="R12">
        <v>0</v>
      </c>
      <c r="S12">
        <v>1231211</v>
      </c>
      <c r="T12">
        <v>1145349</v>
      </c>
      <c r="U12">
        <v>365473</v>
      </c>
      <c r="V12">
        <v>696900</v>
      </c>
      <c r="W12">
        <v>82976</v>
      </c>
      <c r="X12">
        <v>85862</v>
      </c>
      <c r="Y12">
        <v>334700</v>
      </c>
      <c r="Z12">
        <v>696620</v>
      </c>
      <c r="AA12">
        <v>0</v>
      </c>
      <c r="AB12">
        <v>0</v>
      </c>
      <c r="AC12">
        <v>0</v>
      </c>
      <c r="AD12">
        <v>1031320</v>
      </c>
      <c r="AE12">
        <v>968783</v>
      </c>
      <c r="AF12">
        <v>365473</v>
      </c>
      <c r="AG12">
        <v>580700</v>
      </c>
      <c r="AH12">
        <v>22610</v>
      </c>
      <c r="AI12">
        <v>62537</v>
      </c>
      <c r="AJ12">
        <v>0</v>
      </c>
      <c r="AK12">
        <v>199891</v>
      </c>
      <c r="AL12">
        <v>0</v>
      </c>
      <c r="AM12">
        <v>0</v>
      </c>
      <c r="AN12">
        <v>0</v>
      </c>
      <c r="AO12">
        <v>199891</v>
      </c>
      <c r="AP12">
        <v>176566</v>
      </c>
      <c r="AQ12">
        <v>0</v>
      </c>
      <c r="AR12">
        <v>116200</v>
      </c>
      <c r="AS12">
        <v>60366</v>
      </c>
      <c r="AT12">
        <v>23325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11659</v>
      </c>
      <c r="BH12">
        <v>0</v>
      </c>
      <c r="BI12">
        <v>0</v>
      </c>
      <c r="BJ12">
        <v>0</v>
      </c>
      <c r="BK12">
        <v>11659</v>
      </c>
      <c r="BL12">
        <v>11580</v>
      </c>
      <c r="BM12">
        <v>7143</v>
      </c>
      <c r="BN12">
        <v>3600</v>
      </c>
      <c r="BO12">
        <v>837</v>
      </c>
      <c r="BP12">
        <v>79</v>
      </c>
      <c r="BQ12">
        <v>0</v>
      </c>
      <c r="BR12">
        <v>11659</v>
      </c>
      <c r="BS12">
        <v>0</v>
      </c>
      <c r="BT12">
        <v>0</v>
      </c>
      <c r="BU12">
        <v>0</v>
      </c>
      <c r="BV12">
        <v>11659</v>
      </c>
      <c r="BW12">
        <v>11580</v>
      </c>
      <c r="BX12">
        <v>7143</v>
      </c>
      <c r="BY12">
        <v>3600</v>
      </c>
      <c r="BZ12">
        <v>837</v>
      </c>
      <c r="CA12">
        <v>79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4</v>
      </c>
      <c r="CN12">
        <v>0</v>
      </c>
      <c r="CO12">
        <v>0</v>
      </c>
      <c r="CP12">
        <v>221</v>
      </c>
      <c r="CQ12">
        <v>0</v>
      </c>
      <c r="CR12">
        <v>225</v>
      </c>
      <c r="CS12">
        <v>221</v>
      </c>
      <c r="CT12">
        <v>0</v>
      </c>
      <c r="CU12">
        <v>0</v>
      </c>
      <c r="CV12">
        <v>221</v>
      </c>
      <c r="CW12">
        <v>4</v>
      </c>
      <c r="CX12">
        <v>334704</v>
      </c>
      <c r="CY12">
        <v>908170</v>
      </c>
      <c r="CZ12">
        <v>0</v>
      </c>
      <c r="DA12">
        <v>221</v>
      </c>
      <c r="DB12">
        <v>0</v>
      </c>
      <c r="DC12">
        <v>1243095</v>
      </c>
      <c r="DD12">
        <v>1157150</v>
      </c>
      <c r="DE12">
        <v>372616</v>
      </c>
      <c r="DF12">
        <v>700500</v>
      </c>
      <c r="DG12">
        <v>84034</v>
      </c>
      <c r="DH12">
        <v>85945</v>
      </c>
      <c r="DI12">
        <v>325528</v>
      </c>
      <c r="DJ12">
        <v>831401</v>
      </c>
      <c r="DK12">
        <v>0</v>
      </c>
      <c r="DL12">
        <v>221</v>
      </c>
      <c r="DM12">
        <v>0</v>
      </c>
      <c r="DN12">
        <v>1157150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9176</v>
      </c>
      <c r="DU12">
        <v>76769</v>
      </c>
      <c r="DV12">
        <v>0</v>
      </c>
      <c r="DW12">
        <v>0</v>
      </c>
      <c r="DX12">
        <v>0</v>
      </c>
      <c r="DY12">
        <v>85945</v>
      </c>
      <c r="DZ12">
        <v>0</v>
      </c>
      <c r="EA12">
        <v>0</v>
      </c>
      <c r="EB12">
        <v>0</v>
      </c>
      <c r="EC12">
        <v>0</v>
      </c>
      <c r="ED12">
        <v>0</v>
      </c>
    </row>
    <row r="13" spans="1:134" ht="13.5">
      <c r="A13" t="str">
        <f>T("072117")</f>
        <v>072117</v>
      </c>
      <c r="B13" t="s">
        <v>218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467904</v>
      </c>
      <c r="P13">
        <v>0</v>
      </c>
      <c r="Q13">
        <v>0</v>
      </c>
      <c r="R13">
        <v>0</v>
      </c>
      <c r="S13">
        <v>467904</v>
      </c>
      <c r="T13">
        <v>413951</v>
      </c>
      <c r="U13">
        <v>212499</v>
      </c>
      <c r="V13">
        <v>144000</v>
      </c>
      <c r="W13">
        <v>57452</v>
      </c>
      <c r="X13">
        <v>53953</v>
      </c>
      <c r="Y13">
        <v>0</v>
      </c>
      <c r="Z13">
        <v>322519</v>
      </c>
      <c r="AA13">
        <v>0</v>
      </c>
      <c r="AB13">
        <v>0</v>
      </c>
      <c r="AC13">
        <v>0</v>
      </c>
      <c r="AD13">
        <v>322519</v>
      </c>
      <c r="AE13">
        <v>287799</v>
      </c>
      <c r="AF13">
        <v>212499</v>
      </c>
      <c r="AG13">
        <v>75300</v>
      </c>
      <c r="AH13">
        <v>0</v>
      </c>
      <c r="AI13">
        <v>34720</v>
      </c>
      <c r="AJ13">
        <v>0</v>
      </c>
      <c r="AK13">
        <v>145385</v>
      </c>
      <c r="AL13">
        <v>0</v>
      </c>
      <c r="AM13">
        <v>0</v>
      </c>
      <c r="AN13">
        <v>0</v>
      </c>
      <c r="AO13">
        <v>145385</v>
      </c>
      <c r="AP13">
        <v>126152</v>
      </c>
      <c r="AQ13">
        <v>0</v>
      </c>
      <c r="AR13">
        <v>68700</v>
      </c>
      <c r="AS13">
        <v>57452</v>
      </c>
      <c r="AT13">
        <v>19233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467904</v>
      </c>
      <c r="CZ13">
        <v>0</v>
      </c>
      <c r="DA13">
        <v>0</v>
      </c>
      <c r="DB13">
        <v>0</v>
      </c>
      <c r="DC13">
        <v>467904</v>
      </c>
      <c r="DD13">
        <v>413951</v>
      </c>
      <c r="DE13">
        <v>212499</v>
      </c>
      <c r="DF13">
        <v>144000</v>
      </c>
      <c r="DG13">
        <v>57452</v>
      </c>
      <c r="DH13">
        <v>53953</v>
      </c>
      <c r="DI13">
        <v>0</v>
      </c>
      <c r="DJ13">
        <v>413951</v>
      </c>
      <c r="DK13">
        <v>0</v>
      </c>
      <c r="DL13">
        <v>0</v>
      </c>
      <c r="DM13">
        <v>0</v>
      </c>
      <c r="DN13">
        <v>413951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53953</v>
      </c>
      <c r="DV13">
        <v>0</v>
      </c>
      <c r="DW13">
        <v>0</v>
      </c>
      <c r="DX13">
        <v>0</v>
      </c>
      <c r="DY13">
        <v>53953</v>
      </c>
      <c r="DZ13">
        <v>0</v>
      </c>
      <c r="EA13">
        <v>0</v>
      </c>
      <c r="EB13">
        <v>0</v>
      </c>
      <c r="EC13">
        <v>0</v>
      </c>
      <c r="ED13">
        <v>0</v>
      </c>
    </row>
    <row r="14" spans="1:134" ht="13.5">
      <c r="A14" t="str">
        <f>T("072125")</f>
        <v>072125</v>
      </c>
      <c r="B14" t="s">
        <v>219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724035</v>
      </c>
      <c r="O14">
        <v>1281812</v>
      </c>
      <c r="P14">
        <v>1427</v>
      </c>
      <c r="Q14">
        <v>0</v>
      </c>
      <c r="R14">
        <v>0</v>
      </c>
      <c r="S14">
        <v>2007274</v>
      </c>
      <c r="T14">
        <v>1898249</v>
      </c>
      <c r="U14">
        <v>305578</v>
      </c>
      <c r="V14">
        <v>1466600</v>
      </c>
      <c r="W14">
        <v>126071</v>
      </c>
      <c r="X14">
        <v>109025</v>
      </c>
      <c r="Y14">
        <v>0</v>
      </c>
      <c r="Z14">
        <v>1026216</v>
      </c>
      <c r="AA14">
        <v>0</v>
      </c>
      <c r="AB14">
        <v>0</v>
      </c>
      <c r="AC14">
        <v>0</v>
      </c>
      <c r="AD14">
        <v>1026216</v>
      </c>
      <c r="AE14">
        <v>985178</v>
      </c>
      <c r="AF14">
        <v>305578</v>
      </c>
      <c r="AG14">
        <v>679600</v>
      </c>
      <c r="AH14">
        <v>0</v>
      </c>
      <c r="AI14">
        <v>41038</v>
      </c>
      <c r="AJ14">
        <v>724035</v>
      </c>
      <c r="AK14">
        <v>255596</v>
      </c>
      <c r="AL14">
        <v>1427</v>
      </c>
      <c r="AM14">
        <v>0</v>
      </c>
      <c r="AN14">
        <v>0</v>
      </c>
      <c r="AO14">
        <v>981058</v>
      </c>
      <c r="AP14">
        <v>913071</v>
      </c>
      <c r="AQ14">
        <v>0</v>
      </c>
      <c r="AR14">
        <v>787000</v>
      </c>
      <c r="AS14">
        <v>126071</v>
      </c>
      <c r="AT14">
        <v>67987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724035</v>
      </c>
      <c r="CY14">
        <v>1281812</v>
      </c>
      <c r="CZ14">
        <v>1427</v>
      </c>
      <c r="DA14">
        <v>0</v>
      </c>
      <c r="DB14">
        <v>0</v>
      </c>
      <c r="DC14">
        <v>2007274</v>
      </c>
      <c r="DD14">
        <v>1898249</v>
      </c>
      <c r="DE14">
        <v>305578</v>
      </c>
      <c r="DF14">
        <v>1466600</v>
      </c>
      <c r="DG14">
        <v>126071</v>
      </c>
      <c r="DH14">
        <v>109025</v>
      </c>
      <c r="DI14">
        <v>686000</v>
      </c>
      <c r="DJ14">
        <v>1211649</v>
      </c>
      <c r="DK14">
        <v>600</v>
      </c>
      <c r="DL14">
        <v>0</v>
      </c>
      <c r="DM14">
        <v>0</v>
      </c>
      <c r="DN14">
        <v>1898249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38035</v>
      </c>
      <c r="DU14">
        <v>70163</v>
      </c>
      <c r="DV14">
        <v>827</v>
      </c>
      <c r="DW14">
        <v>0</v>
      </c>
      <c r="DX14">
        <v>0</v>
      </c>
      <c r="DY14">
        <v>109025</v>
      </c>
      <c r="DZ14">
        <v>0</v>
      </c>
      <c r="EA14">
        <v>0</v>
      </c>
      <c r="EB14">
        <v>0</v>
      </c>
      <c r="EC14">
        <v>0</v>
      </c>
      <c r="ED14">
        <v>0</v>
      </c>
    </row>
    <row r="15" spans="1:134" ht="13.5">
      <c r="A15" t="str">
        <f>T("072133")</f>
        <v>072133</v>
      </c>
      <c r="B15" t="s">
        <v>220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87221</v>
      </c>
      <c r="P15">
        <v>0</v>
      </c>
      <c r="Q15">
        <v>0</v>
      </c>
      <c r="R15">
        <v>0</v>
      </c>
      <c r="S15">
        <v>87221</v>
      </c>
      <c r="T15">
        <v>44290</v>
      </c>
      <c r="U15">
        <v>25000</v>
      </c>
      <c r="V15">
        <v>8400</v>
      </c>
      <c r="W15">
        <v>10890</v>
      </c>
      <c r="X15">
        <v>42931</v>
      </c>
      <c r="Y15">
        <v>0</v>
      </c>
      <c r="Z15">
        <v>25000</v>
      </c>
      <c r="AA15">
        <v>0</v>
      </c>
      <c r="AB15">
        <v>0</v>
      </c>
      <c r="AC15">
        <v>0</v>
      </c>
      <c r="AD15">
        <v>25000</v>
      </c>
      <c r="AE15">
        <v>25000</v>
      </c>
      <c r="AF15">
        <v>25000</v>
      </c>
      <c r="AG15">
        <v>0</v>
      </c>
      <c r="AH15">
        <v>0</v>
      </c>
      <c r="AI15">
        <v>0</v>
      </c>
      <c r="AJ15">
        <v>0</v>
      </c>
      <c r="AK15">
        <v>62221</v>
      </c>
      <c r="AL15">
        <v>0</v>
      </c>
      <c r="AM15">
        <v>0</v>
      </c>
      <c r="AN15">
        <v>0</v>
      </c>
      <c r="AO15">
        <v>62221</v>
      </c>
      <c r="AP15">
        <v>19290</v>
      </c>
      <c r="AQ15">
        <v>0</v>
      </c>
      <c r="AR15">
        <v>8400</v>
      </c>
      <c r="AS15">
        <v>10890</v>
      </c>
      <c r="AT15">
        <v>42931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8386</v>
      </c>
      <c r="BH15">
        <v>0</v>
      </c>
      <c r="BI15">
        <v>0</v>
      </c>
      <c r="BJ15">
        <v>0</v>
      </c>
      <c r="BK15">
        <v>8386</v>
      </c>
      <c r="BL15">
        <v>6703</v>
      </c>
      <c r="BM15">
        <v>6703</v>
      </c>
      <c r="BN15">
        <v>0</v>
      </c>
      <c r="BO15">
        <v>0</v>
      </c>
      <c r="BP15">
        <v>1683</v>
      </c>
      <c r="BQ15">
        <v>0</v>
      </c>
      <c r="BR15">
        <v>8386</v>
      </c>
      <c r="BS15">
        <v>0</v>
      </c>
      <c r="BT15">
        <v>0</v>
      </c>
      <c r="BU15">
        <v>0</v>
      </c>
      <c r="BV15">
        <v>8386</v>
      </c>
      <c r="BW15">
        <v>6703</v>
      </c>
      <c r="BX15">
        <v>6703</v>
      </c>
      <c r="BY15">
        <v>0</v>
      </c>
      <c r="BZ15">
        <v>0</v>
      </c>
      <c r="CA15">
        <v>1683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95607</v>
      </c>
      <c r="CZ15">
        <v>0</v>
      </c>
      <c r="DA15">
        <v>0</v>
      </c>
      <c r="DB15">
        <v>0</v>
      </c>
      <c r="DC15">
        <v>95607</v>
      </c>
      <c r="DD15">
        <v>50993</v>
      </c>
      <c r="DE15">
        <v>31703</v>
      </c>
      <c r="DF15">
        <v>8400</v>
      </c>
      <c r="DG15">
        <v>10890</v>
      </c>
      <c r="DH15">
        <v>44614</v>
      </c>
      <c r="DI15">
        <v>0</v>
      </c>
      <c r="DJ15">
        <v>50993</v>
      </c>
      <c r="DK15">
        <v>0</v>
      </c>
      <c r="DL15">
        <v>0</v>
      </c>
      <c r="DM15">
        <v>0</v>
      </c>
      <c r="DN15">
        <v>50993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44614</v>
      </c>
      <c r="DV15">
        <v>0</v>
      </c>
      <c r="DW15">
        <v>0</v>
      </c>
      <c r="DX15">
        <v>0</v>
      </c>
      <c r="DY15">
        <v>44614</v>
      </c>
      <c r="DZ15">
        <v>0</v>
      </c>
      <c r="EA15">
        <v>0</v>
      </c>
      <c r="EB15">
        <v>0</v>
      </c>
      <c r="EC15">
        <v>0</v>
      </c>
      <c r="ED15">
        <v>0</v>
      </c>
    </row>
    <row r="16" spans="1:134" ht="13.5">
      <c r="A16" t="str">
        <f>T("072141")</f>
        <v>072141</v>
      </c>
      <c r="B16" t="s">
        <v>292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54670</v>
      </c>
      <c r="P16">
        <v>0</v>
      </c>
      <c r="Q16">
        <v>0</v>
      </c>
      <c r="R16">
        <v>0</v>
      </c>
      <c r="S16">
        <v>54670</v>
      </c>
      <c r="T16">
        <v>28353</v>
      </c>
      <c r="U16">
        <v>22353</v>
      </c>
      <c r="V16">
        <v>6000</v>
      </c>
      <c r="W16">
        <v>0</v>
      </c>
      <c r="X16">
        <v>26317</v>
      </c>
      <c r="Y16">
        <v>0</v>
      </c>
      <c r="Z16">
        <v>22353</v>
      </c>
      <c r="AA16">
        <v>0</v>
      </c>
      <c r="AB16">
        <v>0</v>
      </c>
      <c r="AC16">
        <v>0</v>
      </c>
      <c r="AD16">
        <v>22353</v>
      </c>
      <c r="AE16">
        <v>22353</v>
      </c>
      <c r="AF16">
        <v>22353</v>
      </c>
      <c r="AG16">
        <v>0</v>
      </c>
      <c r="AH16">
        <v>0</v>
      </c>
      <c r="AI16">
        <v>0</v>
      </c>
      <c r="AJ16">
        <v>0</v>
      </c>
      <c r="AK16">
        <v>32317</v>
      </c>
      <c r="AL16">
        <v>0</v>
      </c>
      <c r="AM16">
        <v>0</v>
      </c>
      <c r="AN16">
        <v>0</v>
      </c>
      <c r="AO16">
        <v>32317</v>
      </c>
      <c r="AP16">
        <v>6000</v>
      </c>
      <c r="AQ16">
        <v>0</v>
      </c>
      <c r="AR16">
        <v>6000</v>
      </c>
      <c r="AS16">
        <v>0</v>
      </c>
      <c r="AT16">
        <v>26317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897</v>
      </c>
      <c r="CO16">
        <v>0</v>
      </c>
      <c r="CP16">
        <v>0</v>
      </c>
      <c r="CQ16">
        <v>0</v>
      </c>
      <c r="CR16">
        <v>897</v>
      </c>
      <c r="CS16">
        <v>0</v>
      </c>
      <c r="CT16">
        <v>0</v>
      </c>
      <c r="CU16">
        <v>0</v>
      </c>
      <c r="CV16">
        <v>0</v>
      </c>
      <c r="CW16">
        <v>897</v>
      </c>
      <c r="CX16">
        <v>0</v>
      </c>
      <c r="CY16">
        <v>55567</v>
      </c>
      <c r="CZ16">
        <v>0</v>
      </c>
      <c r="DA16">
        <v>0</v>
      </c>
      <c r="DB16">
        <v>0</v>
      </c>
      <c r="DC16">
        <v>55567</v>
      </c>
      <c r="DD16">
        <v>28353</v>
      </c>
      <c r="DE16">
        <v>22353</v>
      </c>
      <c r="DF16">
        <v>6000</v>
      </c>
      <c r="DG16">
        <v>0</v>
      </c>
      <c r="DH16">
        <v>27214</v>
      </c>
      <c r="DI16">
        <v>0</v>
      </c>
      <c r="DJ16">
        <v>28353</v>
      </c>
      <c r="DK16">
        <v>0</v>
      </c>
      <c r="DL16">
        <v>0</v>
      </c>
      <c r="DM16">
        <v>0</v>
      </c>
      <c r="DN16">
        <v>28353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27214</v>
      </c>
      <c r="DV16">
        <v>0</v>
      </c>
      <c r="DW16">
        <v>0</v>
      </c>
      <c r="DX16">
        <v>0</v>
      </c>
      <c r="DY16">
        <v>27214</v>
      </c>
      <c r="DZ16">
        <v>0</v>
      </c>
      <c r="EA16">
        <v>0</v>
      </c>
      <c r="EB16">
        <v>0</v>
      </c>
      <c r="EC16">
        <v>0</v>
      </c>
      <c r="ED16">
        <v>0</v>
      </c>
    </row>
    <row r="17" spans="2:134" s="248" customFormat="1" ht="13.5">
      <c r="B17" s="248" t="s">
        <v>293</v>
      </c>
      <c r="C17" s="248">
        <f aca="true" t="shared" si="0" ref="C17:BN17">SUM(C4:C16)</f>
        <v>0</v>
      </c>
      <c r="D17" s="248">
        <f t="shared" si="0"/>
        <v>0</v>
      </c>
      <c r="E17" s="248">
        <f t="shared" si="0"/>
        <v>0</v>
      </c>
      <c r="F17" s="248">
        <f t="shared" si="0"/>
        <v>0</v>
      </c>
      <c r="G17" s="248">
        <f t="shared" si="0"/>
        <v>0</v>
      </c>
      <c r="H17" s="248">
        <f t="shared" si="0"/>
        <v>0</v>
      </c>
      <c r="I17" s="248">
        <f t="shared" si="0"/>
        <v>0</v>
      </c>
      <c r="J17" s="248">
        <f t="shared" si="0"/>
        <v>0</v>
      </c>
      <c r="K17" s="248">
        <f t="shared" si="0"/>
        <v>0</v>
      </c>
      <c r="L17" s="248">
        <f t="shared" si="0"/>
        <v>0</v>
      </c>
      <c r="M17" s="248">
        <f t="shared" si="0"/>
        <v>0</v>
      </c>
      <c r="N17" s="248">
        <f t="shared" si="0"/>
        <v>1603757</v>
      </c>
      <c r="O17" s="248">
        <f t="shared" si="0"/>
        <v>7718383</v>
      </c>
      <c r="P17" s="248">
        <f t="shared" si="0"/>
        <v>16338</v>
      </c>
      <c r="Q17" s="248">
        <f t="shared" si="0"/>
        <v>0</v>
      </c>
      <c r="R17" s="248">
        <f t="shared" si="0"/>
        <v>0</v>
      </c>
      <c r="S17" s="248">
        <f t="shared" si="0"/>
        <v>9338478</v>
      </c>
      <c r="T17" s="248">
        <f t="shared" si="0"/>
        <v>7484088</v>
      </c>
      <c r="U17" s="248">
        <f t="shared" si="0"/>
        <v>2268157</v>
      </c>
      <c r="V17" s="248">
        <f t="shared" si="0"/>
        <v>3746800</v>
      </c>
      <c r="W17" s="248">
        <f t="shared" si="0"/>
        <v>1469131</v>
      </c>
      <c r="X17" s="248">
        <f t="shared" si="0"/>
        <v>1854390</v>
      </c>
      <c r="Y17" s="248">
        <f t="shared" si="0"/>
        <v>553788</v>
      </c>
      <c r="Z17" s="248">
        <f t="shared" si="0"/>
        <v>4676536</v>
      </c>
      <c r="AA17" s="248">
        <f t="shared" si="0"/>
        <v>0</v>
      </c>
      <c r="AB17" s="248">
        <f t="shared" si="0"/>
        <v>0</v>
      </c>
      <c r="AC17" s="248">
        <f t="shared" si="0"/>
        <v>0</v>
      </c>
      <c r="AD17" s="248">
        <f t="shared" si="0"/>
        <v>5230324</v>
      </c>
      <c r="AE17" s="248">
        <f t="shared" si="0"/>
        <v>4457789</v>
      </c>
      <c r="AF17" s="248">
        <f t="shared" si="0"/>
        <v>2268157</v>
      </c>
      <c r="AG17" s="248">
        <f t="shared" si="0"/>
        <v>1943400</v>
      </c>
      <c r="AH17" s="248">
        <f t="shared" si="0"/>
        <v>246232</v>
      </c>
      <c r="AI17" s="248">
        <f t="shared" si="0"/>
        <v>772535</v>
      </c>
      <c r="AJ17" s="248">
        <f t="shared" si="0"/>
        <v>1049969</v>
      </c>
      <c r="AK17" s="248">
        <f t="shared" si="0"/>
        <v>2990102</v>
      </c>
      <c r="AL17" s="248">
        <f t="shared" si="0"/>
        <v>16338</v>
      </c>
      <c r="AM17" s="248">
        <f t="shared" si="0"/>
        <v>0</v>
      </c>
      <c r="AN17" s="248">
        <f t="shared" si="0"/>
        <v>0</v>
      </c>
      <c r="AO17" s="248">
        <f t="shared" si="0"/>
        <v>4056409</v>
      </c>
      <c r="AP17" s="248">
        <f t="shared" si="0"/>
        <v>2976074</v>
      </c>
      <c r="AQ17" s="248">
        <f t="shared" si="0"/>
        <v>0</v>
      </c>
      <c r="AR17" s="248">
        <f t="shared" si="0"/>
        <v>1775300</v>
      </c>
      <c r="AS17" s="248">
        <f t="shared" si="0"/>
        <v>1200774</v>
      </c>
      <c r="AT17" s="248">
        <f t="shared" si="0"/>
        <v>1080335</v>
      </c>
      <c r="AU17" s="248">
        <f t="shared" si="0"/>
        <v>0</v>
      </c>
      <c r="AV17" s="248">
        <f t="shared" si="0"/>
        <v>51745</v>
      </c>
      <c r="AW17" s="248">
        <f t="shared" si="0"/>
        <v>0</v>
      </c>
      <c r="AX17" s="248">
        <f t="shared" si="0"/>
        <v>0</v>
      </c>
      <c r="AY17" s="248">
        <f t="shared" si="0"/>
        <v>0</v>
      </c>
      <c r="AZ17" s="248">
        <f t="shared" si="0"/>
        <v>51745</v>
      </c>
      <c r="BA17" s="248">
        <f t="shared" si="0"/>
        <v>50225</v>
      </c>
      <c r="BB17" s="248">
        <f t="shared" si="0"/>
        <v>0</v>
      </c>
      <c r="BC17" s="248">
        <f t="shared" si="0"/>
        <v>28100</v>
      </c>
      <c r="BD17" s="248">
        <f t="shared" si="0"/>
        <v>22125</v>
      </c>
      <c r="BE17" s="248">
        <f t="shared" si="0"/>
        <v>1520</v>
      </c>
      <c r="BF17" s="248">
        <f t="shared" si="0"/>
        <v>0</v>
      </c>
      <c r="BG17" s="248">
        <f t="shared" si="0"/>
        <v>212101</v>
      </c>
      <c r="BH17" s="248">
        <f t="shared" si="0"/>
        <v>0</v>
      </c>
      <c r="BI17" s="248">
        <f t="shared" si="0"/>
        <v>0</v>
      </c>
      <c r="BJ17" s="248">
        <f t="shared" si="0"/>
        <v>0</v>
      </c>
      <c r="BK17" s="248">
        <f t="shared" si="0"/>
        <v>212101</v>
      </c>
      <c r="BL17" s="248">
        <f t="shared" si="0"/>
        <v>148679</v>
      </c>
      <c r="BM17" s="248">
        <f t="shared" si="0"/>
        <v>87906</v>
      </c>
      <c r="BN17" s="248">
        <f t="shared" si="0"/>
        <v>38100</v>
      </c>
      <c r="BO17" s="248">
        <f aca="true" t="shared" si="1" ref="BO17:DZ17">SUM(BO4:BO16)</f>
        <v>22673</v>
      </c>
      <c r="BP17" s="248">
        <f t="shared" si="1"/>
        <v>63422</v>
      </c>
      <c r="BQ17" s="248">
        <f t="shared" si="1"/>
        <v>0</v>
      </c>
      <c r="BR17" s="248">
        <f t="shared" si="1"/>
        <v>121799</v>
      </c>
      <c r="BS17" s="248">
        <f t="shared" si="1"/>
        <v>0</v>
      </c>
      <c r="BT17" s="248">
        <f t="shared" si="1"/>
        <v>0</v>
      </c>
      <c r="BU17" s="248">
        <f t="shared" si="1"/>
        <v>0</v>
      </c>
      <c r="BV17" s="248">
        <f t="shared" si="1"/>
        <v>121799</v>
      </c>
      <c r="BW17" s="248">
        <f t="shared" si="1"/>
        <v>119843</v>
      </c>
      <c r="BX17" s="248">
        <f t="shared" si="1"/>
        <v>87906</v>
      </c>
      <c r="BY17" s="248">
        <f t="shared" si="1"/>
        <v>31100</v>
      </c>
      <c r="BZ17" s="248">
        <f t="shared" si="1"/>
        <v>837</v>
      </c>
      <c r="CA17" s="248">
        <f t="shared" si="1"/>
        <v>1956</v>
      </c>
      <c r="CB17" s="248">
        <f t="shared" si="1"/>
        <v>0</v>
      </c>
      <c r="CC17" s="248">
        <f t="shared" si="1"/>
        <v>90302</v>
      </c>
      <c r="CD17" s="248">
        <f t="shared" si="1"/>
        <v>0</v>
      </c>
      <c r="CE17" s="248">
        <f t="shared" si="1"/>
        <v>0</v>
      </c>
      <c r="CF17" s="248">
        <f t="shared" si="1"/>
        <v>0</v>
      </c>
      <c r="CG17" s="248">
        <f t="shared" si="1"/>
        <v>90302</v>
      </c>
      <c r="CH17" s="248">
        <f t="shared" si="1"/>
        <v>28836</v>
      </c>
      <c r="CI17" s="248">
        <f t="shared" si="1"/>
        <v>0</v>
      </c>
      <c r="CJ17" s="248">
        <f t="shared" si="1"/>
        <v>7000</v>
      </c>
      <c r="CK17" s="248">
        <f t="shared" si="1"/>
        <v>21836</v>
      </c>
      <c r="CL17" s="248">
        <f t="shared" si="1"/>
        <v>61466</v>
      </c>
      <c r="CM17" s="248">
        <f t="shared" si="1"/>
        <v>4</v>
      </c>
      <c r="CN17" s="248">
        <f t="shared" si="1"/>
        <v>11673</v>
      </c>
      <c r="CO17" s="248">
        <f t="shared" si="1"/>
        <v>0</v>
      </c>
      <c r="CP17" s="248">
        <f t="shared" si="1"/>
        <v>14438</v>
      </c>
      <c r="CQ17" s="248">
        <f t="shared" si="1"/>
        <v>0</v>
      </c>
      <c r="CR17" s="248">
        <f t="shared" si="1"/>
        <v>26115</v>
      </c>
      <c r="CS17" s="248">
        <f t="shared" si="1"/>
        <v>221</v>
      </c>
      <c r="CT17" s="248">
        <f t="shared" si="1"/>
        <v>0</v>
      </c>
      <c r="CU17" s="248">
        <f t="shared" si="1"/>
        <v>0</v>
      </c>
      <c r="CV17" s="248">
        <f t="shared" si="1"/>
        <v>221</v>
      </c>
      <c r="CW17" s="248">
        <f t="shared" si="1"/>
        <v>25894</v>
      </c>
      <c r="CX17" s="248">
        <f t="shared" si="1"/>
        <v>1603761</v>
      </c>
      <c r="CY17" s="248">
        <f t="shared" si="1"/>
        <v>7942157</v>
      </c>
      <c r="CZ17" s="248">
        <f t="shared" si="1"/>
        <v>16338</v>
      </c>
      <c r="DA17" s="248">
        <f t="shared" si="1"/>
        <v>14438</v>
      </c>
      <c r="DB17" s="248">
        <f t="shared" si="1"/>
        <v>0</v>
      </c>
      <c r="DC17" s="248">
        <f t="shared" si="1"/>
        <v>9576694</v>
      </c>
      <c r="DD17" s="248">
        <f t="shared" si="1"/>
        <v>7632988</v>
      </c>
      <c r="DE17" s="248">
        <f t="shared" si="1"/>
        <v>2356063</v>
      </c>
      <c r="DF17" s="248">
        <f t="shared" si="1"/>
        <v>3784900</v>
      </c>
      <c r="DG17" s="248">
        <f t="shared" si="1"/>
        <v>1492025</v>
      </c>
      <c r="DH17" s="248">
        <f t="shared" si="1"/>
        <v>1943706</v>
      </c>
      <c r="DI17" s="248">
        <f t="shared" si="1"/>
        <v>1315854</v>
      </c>
      <c r="DJ17" s="248">
        <f t="shared" si="1"/>
        <v>6310413</v>
      </c>
      <c r="DK17" s="248">
        <f t="shared" si="1"/>
        <v>6500</v>
      </c>
      <c r="DL17" s="248">
        <f t="shared" si="1"/>
        <v>221</v>
      </c>
      <c r="DM17" s="248">
        <f t="shared" si="1"/>
        <v>0</v>
      </c>
      <c r="DN17" s="248">
        <f t="shared" si="1"/>
        <v>7632988</v>
      </c>
      <c r="DO17" s="248">
        <f t="shared" si="1"/>
        <v>0</v>
      </c>
      <c r="DP17" s="248">
        <f t="shared" si="1"/>
        <v>0</v>
      </c>
      <c r="DQ17" s="248">
        <f t="shared" si="1"/>
        <v>0</v>
      </c>
      <c r="DR17" s="248">
        <f t="shared" si="1"/>
        <v>0</v>
      </c>
      <c r="DS17" s="248">
        <f t="shared" si="1"/>
        <v>0</v>
      </c>
      <c r="DT17" s="248">
        <f t="shared" si="1"/>
        <v>287907</v>
      </c>
      <c r="DU17" s="248">
        <f t="shared" si="1"/>
        <v>1631744</v>
      </c>
      <c r="DV17" s="248">
        <f t="shared" si="1"/>
        <v>9838</v>
      </c>
      <c r="DW17" s="248">
        <f t="shared" si="1"/>
        <v>14217</v>
      </c>
      <c r="DX17" s="248">
        <f t="shared" si="1"/>
        <v>0</v>
      </c>
      <c r="DY17" s="248">
        <f t="shared" si="1"/>
        <v>1943706</v>
      </c>
      <c r="DZ17" s="248">
        <f t="shared" si="1"/>
        <v>0</v>
      </c>
      <c r="EA17" s="248">
        <f>SUM(EA4:EA16)</f>
        <v>0</v>
      </c>
      <c r="EB17" s="248">
        <f>SUM(EB4:EB16)</f>
        <v>0</v>
      </c>
      <c r="EC17" s="248">
        <f>SUM(EC4:EC16)</f>
        <v>0</v>
      </c>
      <c r="ED17" s="248">
        <f>SUM(ED4:ED16)</f>
        <v>0</v>
      </c>
    </row>
    <row r="18" spans="1:134" ht="13.5">
      <c r="A18" t="str">
        <f>T("073016")</f>
        <v>073016</v>
      </c>
      <c r="B18" t="s">
        <v>221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2000</v>
      </c>
      <c r="CO18">
        <v>7333</v>
      </c>
      <c r="CP18">
        <v>0</v>
      </c>
      <c r="CQ18">
        <v>0</v>
      </c>
      <c r="CR18">
        <v>9333</v>
      </c>
      <c r="CS18">
        <v>0</v>
      </c>
      <c r="CT18">
        <v>0</v>
      </c>
      <c r="CU18">
        <v>0</v>
      </c>
      <c r="CV18">
        <v>0</v>
      </c>
      <c r="CW18">
        <v>9333</v>
      </c>
      <c r="CX18">
        <v>0</v>
      </c>
      <c r="CY18">
        <v>2000</v>
      </c>
      <c r="CZ18">
        <v>7333</v>
      </c>
      <c r="DA18">
        <v>0</v>
      </c>
      <c r="DB18">
        <v>0</v>
      </c>
      <c r="DC18">
        <v>9333</v>
      </c>
      <c r="DD18">
        <v>0</v>
      </c>
      <c r="DE18">
        <v>0</v>
      </c>
      <c r="DF18">
        <v>0</v>
      </c>
      <c r="DG18">
        <v>0</v>
      </c>
      <c r="DH18">
        <v>9333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2000</v>
      </c>
      <c r="DV18">
        <v>7333</v>
      </c>
      <c r="DW18">
        <v>0</v>
      </c>
      <c r="DX18">
        <v>0</v>
      </c>
      <c r="DY18">
        <v>9333</v>
      </c>
      <c r="DZ18">
        <v>0</v>
      </c>
      <c r="EA18">
        <v>0</v>
      </c>
      <c r="EB18">
        <v>0</v>
      </c>
      <c r="EC18">
        <v>0</v>
      </c>
      <c r="ED18">
        <v>0</v>
      </c>
    </row>
    <row r="19" spans="1:134" ht="13.5">
      <c r="A19" t="str">
        <f>T("073032")</f>
        <v>073032</v>
      </c>
      <c r="B19" t="s">
        <v>222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</row>
    <row r="20" spans="1:134" ht="13.5">
      <c r="A20" t="str">
        <f>T("073083")</f>
        <v>073083</v>
      </c>
      <c r="B20" t="s">
        <v>223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</row>
    <row r="21" spans="1:134" ht="13.5">
      <c r="A21" t="str">
        <f>T("073091")</f>
        <v>073091</v>
      </c>
      <c r="B21" t="s">
        <v>224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36300</v>
      </c>
      <c r="P21">
        <v>0</v>
      </c>
      <c r="Q21">
        <v>0</v>
      </c>
      <c r="R21">
        <v>0</v>
      </c>
      <c r="S21">
        <v>36300</v>
      </c>
      <c r="T21">
        <v>15000</v>
      </c>
      <c r="U21">
        <v>15000</v>
      </c>
      <c r="V21">
        <v>0</v>
      </c>
      <c r="W21">
        <v>0</v>
      </c>
      <c r="X21">
        <v>21300</v>
      </c>
      <c r="Y21">
        <v>0</v>
      </c>
      <c r="Z21">
        <v>15000</v>
      </c>
      <c r="AA21">
        <v>0</v>
      </c>
      <c r="AB21">
        <v>0</v>
      </c>
      <c r="AC21">
        <v>0</v>
      </c>
      <c r="AD21">
        <v>15000</v>
      </c>
      <c r="AE21">
        <v>15000</v>
      </c>
      <c r="AF21">
        <v>15000</v>
      </c>
      <c r="AG21">
        <v>0</v>
      </c>
      <c r="AH21">
        <v>0</v>
      </c>
      <c r="AI21">
        <v>0</v>
      </c>
      <c r="AJ21">
        <v>0</v>
      </c>
      <c r="AK21">
        <v>21300</v>
      </c>
      <c r="AL21">
        <v>0</v>
      </c>
      <c r="AM21">
        <v>0</v>
      </c>
      <c r="AN21">
        <v>0</v>
      </c>
      <c r="AO21">
        <v>21300</v>
      </c>
      <c r="AP21">
        <v>0</v>
      </c>
      <c r="AQ21">
        <v>0</v>
      </c>
      <c r="AR21">
        <v>0</v>
      </c>
      <c r="AS21">
        <v>0</v>
      </c>
      <c r="AT21">
        <v>21300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36300</v>
      </c>
      <c r="CZ21">
        <v>0</v>
      </c>
      <c r="DA21">
        <v>0</v>
      </c>
      <c r="DB21">
        <v>0</v>
      </c>
      <c r="DC21">
        <v>36300</v>
      </c>
      <c r="DD21">
        <v>15000</v>
      </c>
      <c r="DE21">
        <v>15000</v>
      </c>
      <c r="DF21">
        <v>0</v>
      </c>
      <c r="DG21">
        <v>0</v>
      </c>
      <c r="DH21">
        <v>21300</v>
      </c>
      <c r="DI21">
        <v>0</v>
      </c>
      <c r="DJ21">
        <v>15000</v>
      </c>
      <c r="DK21">
        <v>0</v>
      </c>
      <c r="DL21">
        <v>0</v>
      </c>
      <c r="DM21">
        <v>0</v>
      </c>
      <c r="DN21">
        <v>15000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21300</v>
      </c>
      <c r="DV21">
        <v>0</v>
      </c>
      <c r="DW21">
        <v>0</v>
      </c>
      <c r="DX21">
        <v>0</v>
      </c>
      <c r="DY21">
        <v>21300</v>
      </c>
      <c r="DZ21">
        <v>0</v>
      </c>
      <c r="EA21">
        <v>0</v>
      </c>
      <c r="EB21">
        <v>0</v>
      </c>
      <c r="EC21">
        <v>0</v>
      </c>
      <c r="ED21">
        <v>0</v>
      </c>
    </row>
    <row r="22" spans="1:134" ht="13.5">
      <c r="A22" t="str">
        <f>T("073229")</f>
        <v>073229</v>
      </c>
      <c r="B22" t="s">
        <v>225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12349</v>
      </c>
      <c r="P22">
        <v>0</v>
      </c>
      <c r="Q22">
        <v>0</v>
      </c>
      <c r="R22">
        <v>0</v>
      </c>
      <c r="S22">
        <v>12349</v>
      </c>
      <c r="T22">
        <v>11700</v>
      </c>
      <c r="U22">
        <v>0</v>
      </c>
      <c r="V22">
        <v>11700</v>
      </c>
      <c r="W22">
        <v>0</v>
      </c>
      <c r="X22">
        <v>649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12349</v>
      </c>
      <c r="AL22">
        <v>0</v>
      </c>
      <c r="AM22">
        <v>0</v>
      </c>
      <c r="AN22">
        <v>0</v>
      </c>
      <c r="AO22">
        <v>12349</v>
      </c>
      <c r="AP22">
        <v>11700</v>
      </c>
      <c r="AQ22">
        <v>0</v>
      </c>
      <c r="AR22">
        <v>11700</v>
      </c>
      <c r="AS22">
        <v>0</v>
      </c>
      <c r="AT22">
        <v>649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12349</v>
      </c>
      <c r="CZ22">
        <v>0</v>
      </c>
      <c r="DA22">
        <v>0</v>
      </c>
      <c r="DB22">
        <v>0</v>
      </c>
      <c r="DC22">
        <v>12349</v>
      </c>
      <c r="DD22">
        <v>11700</v>
      </c>
      <c r="DE22">
        <v>0</v>
      </c>
      <c r="DF22">
        <v>11700</v>
      </c>
      <c r="DG22">
        <v>0</v>
      </c>
      <c r="DH22">
        <v>649</v>
      </c>
      <c r="DI22">
        <v>0</v>
      </c>
      <c r="DJ22">
        <v>11700</v>
      </c>
      <c r="DK22">
        <v>0</v>
      </c>
      <c r="DL22">
        <v>0</v>
      </c>
      <c r="DM22">
        <v>0</v>
      </c>
      <c r="DN22">
        <v>11700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649</v>
      </c>
      <c r="DV22">
        <v>0</v>
      </c>
      <c r="DW22">
        <v>0</v>
      </c>
      <c r="DX22">
        <v>0</v>
      </c>
      <c r="DY22">
        <v>649</v>
      </c>
      <c r="DZ22">
        <v>0</v>
      </c>
      <c r="EA22">
        <v>0</v>
      </c>
      <c r="EB22">
        <v>0</v>
      </c>
      <c r="EC22">
        <v>0</v>
      </c>
      <c r="ED22">
        <v>0</v>
      </c>
    </row>
    <row r="23" spans="1:134" ht="13.5">
      <c r="A23" t="str">
        <f>T("073423")</f>
        <v>073423</v>
      </c>
      <c r="B23" t="s">
        <v>226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24789</v>
      </c>
      <c r="P23">
        <v>0</v>
      </c>
      <c r="Q23">
        <v>0</v>
      </c>
      <c r="R23">
        <v>0</v>
      </c>
      <c r="S23">
        <v>24789</v>
      </c>
      <c r="T23">
        <v>24234</v>
      </c>
      <c r="U23">
        <v>0</v>
      </c>
      <c r="V23">
        <v>10600</v>
      </c>
      <c r="W23">
        <v>13634</v>
      </c>
      <c r="X23">
        <v>555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24789</v>
      </c>
      <c r="AL23">
        <v>0</v>
      </c>
      <c r="AM23">
        <v>0</v>
      </c>
      <c r="AN23">
        <v>0</v>
      </c>
      <c r="AO23">
        <v>24789</v>
      </c>
      <c r="AP23">
        <v>24234</v>
      </c>
      <c r="AQ23">
        <v>0</v>
      </c>
      <c r="AR23">
        <v>10600</v>
      </c>
      <c r="AS23">
        <v>13634</v>
      </c>
      <c r="AT23">
        <v>555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24789</v>
      </c>
      <c r="CZ23">
        <v>0</v>
      </c>
      <c r="DA23">
        <v>0</v>
      </c>
      <c r="DB23">
        <v>0</v>
      </c>
      <c r="DC23">
        <v>24789</v>
      </c>
      <c r="DD23">
        <v>24234</v>
      </c>
      <c r="DE23">
        <v>0</v>
      </c>
      <c r="DF23">
        <v>10600</v>
      </c>
      <c r="DG23">
        <v>13634</v>
      </c>
      <c r="DH23">
        <v>555</v>
      </c>
      <c r="DI23">
        <v>0</v>
      </c>
      <c r="DJ23">
        <v>24234</v>
      </c>
      <c r="DK23">
        <v>0</v>
      </c>
      <c r="DL23">
        <v>0</v>
      </c>
      <c r="DM23">
        <v>0</v>
      </c>
      <c r="DN23">
        <v>24234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555</v>
      </c>
      <c r="DV23">
        <v>0</v>
      </c>
      <c r="DW23">
        <v>0</v>
      </c>
      <c r="DX23">
        <v>0</v>
      </c>
      <c r="DY23">
        <v>555</v>
      </c>
      <c r="DZ23">
        <v>0</v>
      </c>
      <c r="EA23">
        <v>0</v>
      </c>
      <c r="EB23">
        <v>0</v>
      </c>
      <c r="EC23">
        <v>0</v>
      </c>
      <c r="ED23">
        <v>0</v>
      </c>
    </row>
    <row r="24" spans="1:134" ht="13.5">
      <c r="A24" t="str">
        <f>T("073440")</f>
        <v>073440</v>
      </c>
      <c r="B24" t="s">
        <v>227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</row>
    <row r="25" spans="1:134" ht="13.5">
      <c r="A25" t="str">
        <f>T("073628")</f>
        <v>073628</v>
      </c>
      <c r="B25" t="s">
        <v>228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7480</v>
      </c>
      <c r="BH25">
        <v>0</v>
      </c>
      <c r="BI25">
        <v>0</v>
      </c>
      <c r="BJ25">
        <v>0</v>
      </c>
      <c r="BK25">
        <v>7480</v>
      </c>
      <c r="BL25">
        <v>6220</v>
      </c>
      <c r="BM25">
        <v>4920</v>
      </c>
      <c r="BN25">
        <v>1300</v>
      </c>
      <c r="BO25">
        <v>0</v>
      </c>
      <c r="BP25">
        <v>1260</v>
      </c>
      <c r="BQ25">
        <v>0</v>
      </c>
      <c r="BR25">
        <v>6656</v>
      </c>
      <c r="BS25">
        <v>0</v>
      </c>
      <c r="BT25">
        <v>0</v>
      </c>
      <c r="BU25">
        <v>0</v>
      </c>
      <c r="BV25">
        <v>6656</v>
      </c>
      <c r="BW25">
        <v>6220</v>
      </c>
      <c r="BX25">
        <v>4920</v>
      </c>
      <c r="BY25">
        <v>1300</v>
      </c>
      <c r="BZ25">
        <v>0</v>
      </c>
      <c r="CA25">
        <v>436</v>
      </c>
      <c r="CB25">
        <v>0</v>
      </c>
      <c r="CC25">
        <v>824</v>
      </c>
      <c r="CD25">
        <v>0</v>
      </c>
      <c r="CE25">
        <v>0</v>
      </c>
      <c r="CF25">
        <v>0</v>
      </c>
      <c r="CG25">
        <v>824</v>
      </c>
      <c r="CH25">
        <v>0</v>
      </c>
      <c r="CI25">
        <v>0</v>
      </c>
      <c r="CJ25">
        <v>0</v>
      </c>
      <c r="CK25">
        <v>0</v>
      </c>
      <c r="CL25">
        <v>824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7480</v>
      </c>
      <c r="CZ25">
        <v>0</v>
      </c>
      <c r="DA25">
        <v>0</v>
      </c>
      <c r="DB25">
        <v>0</v>
      </c>
      <c r="DC25">
        <v>7480</v>
      </c>
      <c r="DD25">
        <v>6220</v>
      </c>
      <c r="DE25">
        <v>4920</v>
      </c>
      <c r="DF25">
        <v>1300</v>
      </c>
      <c r="DG25">
        <v>0</v>
      </c>
      <c r="DH25">
        <v>1260</v>
      </c>
      <c r="DI25">
        <v>0</v>
      </c>
      <c r="DJ25">
        <v>6220</v>
      </c>
      <c r="DK25">
        <v>0</v>
      </c>
      <c r="DL25">
        <v>0</v>
      </c>
      <c r="DM25">
        <v>0</v>
      </c>
      <c r="DN25">
        <v>6220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1260</v>
      </c>
      <c r="DV25">
        <v>0</v>
      </c>
      <c r="DW25">
        <v>0</v>
      </c>
      <c r="DX25">
        <v>0</v>
      </c>
      <c r="DY25">
        <v>1260</v>
      </c>
      <c r="DZ25">
        <v>0</v>
      </c>
      <c r="EA25">
        <v>0</v>
      </c>
      <c r="EB25">
        <v>0</v>
      </c>
      <c r="EC25">
        <v>0</v>
      </c>
      <c r="ED25">
        <v>0</v>
      </c>
    </row>
    <row r="26" spans="1:134" ht="13.5">
      <c r="A26" t="str">
        <f>T("073644")</f>
        <v>073644</v>
      </c>
      <c r="B26" t="s">
        <v>229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</row>
    <row r="27" spans="1:134" ht="13.5">
      <c r="A27" t="str">
        <f>T("073679")</f>
        <v>073679</v>
      </c>
      <c r="B27" t="s">
        <v>230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692603</v>
      </c>
      <c r="P27">
        <v>0</v>
      </c>
      <c r="Q27">
        <v>0</v>
      </c>
      <c r="R27">
        <v>0</v>
      </c>
      <c r="S27">
        <v>692603</v>
      </c>
      <c r="T27">
        <v>404700</v>
      </c>
      <c r="U27">
        <v>250000</v>
      </c>
      <c r="V27">
        <v>154700</v>
      </c>
      <c r="W27">
        <v>0</v>
      </c>
      <c r="X27">
        <v>287903</v>
      </c>
      <c r="Y27">
        <v>0</v>
      </c>
      <c r="Z27">
        <v>670488</v>
      </c>
      <c r="AA27">
        <v>0</v>
      </c>
      <c r="AB27">
        <v>0</v>
      </c>
      <c r="AC27">
        <v>0</v>
      </c>
      <c r="AD27">
        <v>670488</v>
      </c>
      <c r="AE27">
        <v>382600</v>
      </c>
      <c r="AF27">
        <v>250000</v>
      </c>
      <c r="AG27">
        <v>132600</v>
      </c>
      <c r="AH27">
        <v>0</v>
      </c>
      <c r="AI27">
        <v>287888</v>
      </c>
      <c r="AJ27">
        <v>0</v>
      </c>
      <c r="AK27">
        <v>22115</v>
      </c>
      <c r="AL27">
        <v>0</v>
      </c>
      <c r="AM27">
        <v>0</v>
      </c>
      <c r="AN27">
        <v>0</v>
      </c>
      <c r="AO27">
        <v>22115</v>
      </c>
      <c r="AP27">
        <v>22100</v>
      </c>
      <c r="AQ27">
        <v>0</v>
      </c>
      <c r="AR27">
        <v>22100</v>
      </c>
      <c r="AS27">
        <v>0</v>
      </c>
      <c r="AT27">
        <v>15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692603</v>
      </c>
      <c r="CZ27">
        <v>0</v>
      </c>
      <c r="DA27">
        <v>0</v>
      </c>
      <c r="DB27">
        <v>0</v>
      </c>
      <c r="DC27">
        <v>692603</v>
      </c>
      <c r="DD27">
        <v>404700</v>
      </c>
      <c r="DE27">
        <v>250000</v>
      </c>
      <c r="DF27">
        <v>154700</v>
      </c>
      <c r="DG27">
        <v>0</v>
      </c>
      <c r="DH27">
        <v>287903</v>
      </c>
      <c r="DI27">
        <v>0</v>
      </c>
      <c r="DJ27">
        <v>404700</v>
      </c>
      <c r="DK27">
        <v>0</v>
      </c>
      <c r="DL27">
        <v>0</v>
      </c>
      <c r="DM27">
        <v>0</v>
      </c>
      <c r="DN27">
        <v>404700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287903</v>
      </c>
      <c r="DV27">
        <v>0</v>
      </c>
      <c r="DW27">
        <v>0</v>
      </c>
      <c r="DX27">
        <v>0</v>
      </c>
      <c r="DY27">
        <v>287903</v>
      </c>
      <c r="DZ27">
        <v>0</v>
      </c>
      <c r="EA27">
        <v>0</v>
      </c>
      <c r="EB27">
        <v>0</v>
      </c>
      <c r="EC27">
        <v>0</v>
      </c>
      <c r="ED27">
        <v>0</v>
      </c>
    </row>
    <row r="28" spans="1:134" ht="13.5">
      <c r="A28" t="str">
        <f>T("073687")</f>
        <v>073687</v>
      </c>
      <c r="B28" t="s">
        <v>294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12712</v>
      </c>
      <c r="P28">
        <v>0</v>
      </c>
      <c r="Q28">
        <v>0</v>
      </c>
      <c r="R28">
        <v>0</v>
      </c>
      <c r="S28">
        <v>12712</v>
      </c>
      <c r="T28">
        <v>9105</v>
      </c>
      <c r="U28">
        <v>0</v>
      </c>
      <c r="V28">
        <v>2700</v>
      </c>
      <c r="W28">
        <v>6405</v>
      </c>
      <c r="X28">
        <v>3607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12712</v>
      </c>
      <c r="AL28">
        <v>0</v>
      </c>
      <c r="AM28">
        <v>0</v>
      </c>
      <c r="AN28">
        <v>0</v>
      </c>
      <c r="AO28">
        <v>12712</v>
      </c>
      <c r="AP28">
        <v>9105</v>
      </c>
      <c r="AQ28">
        <v>0</v>
      </c>
      <c r="AR28">
        <v>2700</v>
      </c>
      <c r="AS28">
        <v>6405</v>
      </c>
      <c r="AT28">
        <v>3607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59479</v>
      </c>
      <c r="BH28">
        <v>0</v>
      </c>
      <c r="BI28">
        <v>0</v>
      </c>
      <c r="BJ28">
        <v>0</v>
      </c>
      <c r="BK28">
        <v>59479</v>
      </c>
      <c r="BL28">
        <v>49373</v>
      </c>
      <c r="BM28">
        <v>8758</v>
      </c>
      <c r="BN28">
        <v>7700</v>
      </c>
      <c r="BO28">
        <v>32915</v>
      </c>
      <c r="BP28">
        <v>10106</v>
      </c>
      <c r="BQ28">
        <v>0</v>
      </c>
      <c r="BR28">
        <v>55224</v>
      </c>
      <c r="BS28">
        <v>0</v>
      </c>
      <c r="BT28">
        <v>0</v>
      </c>
      <c r="BU28">
        <v>0</v>
      </c>
      <c r="BV28">
        <v>55224</v>
      </c>
      <c r="BW28">
        <v>49373</v>
      </c>
      <c r="BX28">
        <v>8758</v>
      </c>
      <c r="BY28">
        <v>7700</v>
      </c>
      <c r="BZ28">
        <v>32915</v>
      </c>
      <c r="CA28">
        <v>5851</v>
      </c>
      <c r="CB28">
        <v>0</v>
      </c>
      <c r="CC28">
        <v>4255</v>
      </c>
      <c r="CD28">
        <v>0</v>
      </c>
      <c r="CE28">
        <v>0</v>
      </c>
      <c r="CF28">
        <v>0</v>
      </c>
      <c r="CG28">
        <v>4255</v>
      </c>
      <c r="CH28">
        <v>0</v>
      </c>
      <c r="CI28">
        <v>0</v>
      </c>
      <c r="CJ28">
        <v>0</v>
      </c>
      <c r="CK28">
        <v>0</v>
      </c>
      <c r="CL28">
        <v>4255</v>
      </c>
      <c r="CM28">
        <v>0</v>
      </c>
      <c r="CN28">
        <v>5130</v>
      </c>
      <c r="CO28">
        <v>0</v>
      </c>
      <c r="CP28">
        <v>0</v>
      </c>
      <c r="CQ28">
        <v>0</v>
      </c>
      <c r="CR28">
        <v>5130</v>
      </c>
      <c r="CS28">
        <v>0</v>
      </c>
      <c r="CT28">
        <v>0</v>
      </c>
      <c r="CU28">
        <v>0</v>
      </c>
      <c r="CV28">
        <v>0</v>
      </c>
      <c r="CW28">
        <v>5130</v>
      </c>
      <c r="CX28">
        <v>0</v>
      </c>
      <c r="CY28">
        <v>77321</v>
      </c>
      <c r="CZ28">
        <v>0</v>
      </c>
      <c r="DA28">
        <v>0</v>
      </c>
      <c r="DB28">
        <v>0</v>
      </c>
      <c r="DC28">
        <v>77321</v>
      </c>
      <c r="DD28">
        <v>58478</v>
      </c>
      <c r="DE28">
        <v>8758</v>
      </c>
      <c r="DF28">
        <v>10400</v>
      </c>
      <c r="DG28">
        <v>39320</v>
      </c>
      <c r="DH28">
        <v>18843</v>
      </c>
      <c r="DI28">
        <v>0</v>
      </c>
      <c r="DJ28">
        <v>58478</v>
      </c>
      <c r="DK28">
        <v>0</v>
      </c>
      <c r="DL28">
        <v>0</v>
      </c>
      <c r="DM28">
        <v>0</v>
      </c>
      <c r="DN28">
        <v>58478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18843</v>
      </c>
      <c r="DV28">
        <v>0</v>
      </c>
      <c r="DW28">
        <v>0</v>
      </c>
      <c r="DX28">
        <v>0</v>
      </c>
      <c r="DY28">
        <v>18843</v>
      </c>
      <c r="DZ28">
        <v>0</v>
      </c>
      <c r="EA28">
        <v>0</v>
      </c>
      <c r="EB28">
        <v>0</v>
      </c>
      <c r="EC28">
        <v>0</v>
      </c>
      <c r="ED28">
        <v>0</v>
      </c>
    </row>
    <row r="29" spans="1:134" ht="13.5">
      <c r="A29" t="str">
        <f>T("074021")</f>
        <v>074021</v>
      </c>
      <c r="B29" t="s">
        <v>231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104477</v>
      </c>
      <c r="P29">
        <v>0</v>
      </c>
      <c r="Q29">
        <v>0</v>
      </c>
      <c r="R29">
        <v>0</v>
      </c>
      <c r="S29">
        <v>104477</v>
      </c>
      <c r="T29">
        <v>104121</v>
      </c>
      <c r="U29">
        <v>2921</v>
      </c>
      <c r="V29">
        <v>101200</v>
      </c>
      <c r="W29">
        <v>0</v>
      </c>
      <c r="X29">
        <v>356</v>
      </c>
      <c r="Y29">
        <v>0</v>
      </c>
      <c r="Z29">
        <v>75407</v>
      </c>
      <c r="AA29">
        <v>0</v>
      </c>
      <c r="AB29">
        <v>0</v>
      </c>
      <c r="AC29">
        <v>0</v>
      </c>
      <c r="AD29">
        <v>75407</v>
      </c>
      <c r="AE29">
        <v>75221</v>
      </c>
      <c r="AF29">
        <v>2921</v>
      </c>
      <c r="AG29">
        <v>72300</v>
      </c>
      <c r="AH29">
        <v>0</v>
      </c>
      <c r="AI29">
        <v>186</v>
      </c>
      <c r="AJ29">
        <v>0</v>
      </c>
      <c r="AK29">
        <v>29070</v>
      </c>
      <c r="AL29">
        <v>0</v>
      </c>
      <c r="AM29">
        <v>0</v>
      </c>
      <c r="AN29">
        <v>0</v>
      </c>
      <c r="AO29">
        <v>29070</v>
      </c>
      <c r="AP29">
        <v>28900</v>
      </c>
      <c r="AQ29">
        <v>0</v>
      </c>
      <c r="AR29">
        <v>28900</v>
      </c>
      <c r="AS29">
        <v>0</v>
      </c>
      <c r="AT29">
        <v>170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104477</v>
      </c>
      <c r="CZ29">
        <v>0</v>
      </c>
      <c r="DA29">
        <v>0</v>
      </c>
      <c r="DB29">
        <v>0</v>
      </c>
      <c r="DC29">
        <v>104477</v>
      </c>
      <c r="DD29">
        <v>104121</v>
      </c>
      <c r="DE29">
        <v>2921</v>
      </c>
      <c r="DF29">
        <v>101200</v>
      </c>
      <c r="DG29">
        <v>0</v>
      </c>
      <c r="DH29">
        <v>356</v>
      </c>
      <c r="DI29">
        <v>0</v>
      </c>
      <c r="DJ29">
        <v>104121</v>
      </c>
      <c r="DK29">
        <v>0</v>
      </c>
      <c r="DL29">
        <v>0</v>
      </c>
      <c r="DM29">
        <v>0</v>
      </c>
      <c r="DN29">
        <v>104121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356</v>
      </c>
      <c r="DV29">
        <v>0</v>
      </c>
      <c r="DW29">
        <v>0</v>
      </c>
      <c r="DX29">
        <v>0</v>
      </c>
      <c r="DY29">
        <v>356</v>
      </c>
      <c r="DZ29">
        <v>0</v>
      </c>
      <c r="EA29">
        <v>0</v>
      </c>
      <c r="EB29">
        <v>0</v>
      </c>
      <c r="EC29">
        <v>0</v>
      </c>
      <c r="ED29">
        <v>0</v>
      </c>
    </row>
    <row r="30" spans="1:134" ht="13.5">
      <c r="A30" t="str">
        <f>T("074055")</f>
        <v>074055</v>
      </c>
      <c r="B30" t="s">
        <v>232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</row>
    <row r="31" spans="1:134" ht="13.5">
      <c r="A31" t="str">
        <f>T("074071")</f>
        <v>074071</v>
      </c>
      <c r="B31" t="s">
        <v>233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113505</v>
      </c>
      <c r="P31">
        <v>0</v>
      </c>
      <c r="Q31">
        <v>0</v>
      </c>
      <c r="R31">
        <v>0</v>
      </c>
      <c r="S31">
        <v>113505</v>
      </c>
      <c r="T31">
        <v>91119</v>
      </c>
      <c r="U31">
        <v>14920</v>
      </c>
      <c r="V31">
        <v>58600</v>
      </c>
      <c r="W31">
        <v>17599</v>
      </c>
      <c r="X31">
        <v>22386</v>
      </c>
      <c r="Y31">
        <v>0</v>
      </c>
      <c r="Z31">
        <v>41655</v>
      </c>
      <c r="AA31">
        <v>0</v>
      </c>
      <c r="AB31">
        <v>0</v>
      </c>
      <c r="AC31">
        <v>0</v>
      </c>
      <c r="AD31">
        <v>41655</v>
      </c>
      <c r="AE31">
        <v>30920</v>
      </c>
      <c r="AF31">
        <v>14920</v>
      </c>
      <c r="AG31">
        <v>16000</v>
      </c>
      <c r="AH31">
        <v>0</v>
      </c>
      <c r="AI31">
        <v>10735</v>
      </c>
      <c r="AJ31">
        <v>0</v>
      </c>
      <c r="AK31">
        <v>71850</v>
      </c>
      <c r="AL31">
        <v>0</v>
      </c>
      <c r="AM31">
        <v>0</v>
      </c>
      <c r="AN31">
        <v>0</v>
      </c>
      <c r="AO31">
        <v>71850</v>
      </c>
      <c r="AP31">
        <v>60199</v>
      </c>
      <c r="AQ31">
        <v>0</v>
      </c>
      <c r="AR31">
        <v>42600</v>
      </c>
      <c r="AS31">
        <v>17599</v>
      </c>
      <c r="AT31">
        <v>11651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113505</v>
      </c>
      <c r="CZ31">
        <v>0</v>
      </c>
      <c r="DA31">
        <v>0</v>
      </c>
      <c r="DB31">
        <v>0</v>
      </c>
      <c r="DC31">
        <v>113505</v>
      </c>
      <c r="DD31">
        <v>91119</v>
      </c>
      <c r="DE31">
        <v>14920</v>
      </c>
      <c r="DF31">
        <v>58600</v>
      </c>
      <c r="DG31">
        <v>17599</v>
      </c>
      <c r="DH31">
        <v>22386</v>
      </c>
      <c r="DI31">
        <v>0</v>
      </c>
      <c r="DJ31">
        <v>91119</v>
      </c>
      <c r="DK31">
        <v>0</v>
      </c>
      <c r="DL31">
        <v>0</v>
      </c>
      <c r="DM31">
        <v>0</v>
      </c>
      <c r="DN31">
        <v>91119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22386</v>
      </c>
      <c r="DV31">
        <v>0</v>
      </c>
      <c r="DW31">
        <v>0</v>
      </c>
      <c r="DX31">
        <v>0</v>
      </c>
      <c r="DY31">
        <v>22386</v>
      </c>
      <c r="DZ31">
        <v>0</v>
      </c>
      <c r="EA31">
        <v>0</v>
      </c>
      <c r="EB31">
        <v>0</v>
      </c>
      <c r="EC31">
        <v>0</v>
      </c>
      <c r="ED31">
        <v>0</v>
      </c>
    </row>
    <row r="32" spans="1:134" ht="13.5">
      <c r="A32" t="str">
        <f>T("074080")</f>
        <v>074080</v>
      </c>
      <c r="B32" t="s">
        <v>234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656740</v>
      </c>
      <c r="P32">
        <v>0</v>
      </c>
      <c r="Q32">
        <v>0</v>
      </c>
      <c r="R32">
        <v>0</v>
      </c>
      <c r="S32">
        <v>656740</v>
      </c>
      <c r="T32">
        <v>621020</v>
      </c>
      <c r="U32">
        <v>288370</v>
      </c>
      <c r="V32">
        <v>288300</v>
      </c>
      <c r="W32">
        <v>44350</v>
      </c>
      <c r="X32">
        <v>35720</v>
      </c>
      <c r="Y32">
        <v>0</v>
      </c>
      <c r="Z32">
        <v>576740</v>
      </c>
      <c r="AA32">
        <v>0</v>
      </c>
      <c r="AB32">
        <v>0</v>
      </c>
      <c r="AC32">
        <v>0</v>
      </c>
      <c r="AD32">
        <v>576740</v>
      </c>
      <c r="AE32">
        <v>576670</v>
      </c>
      <c r="AF32">
        <v>288370</v>
      </c>
      <c r="AG32">
        <v>288300</v>
      </c>
      <c r="AH32">
        <v>0</v>
      </c>
      <c r="AI32">
        <v>70</v>
      </c>
      <c r="AJ32">
        <v>0</v>
      </c>
      <c r="AK32">
        <v>80000</v>
      </c>
      <c r="AL32">
        <v>0</v>
      </c>
      <c r="AM32">
        <v>0</v>
      </c>
      <c r="AN32">
        <v>0</v>
      </c>
      <c r="AO32">
        <v>80000</v>
      </c>
      <c r="AP32">
        <v>44350</v>
      </c>
      <c r="AQ32">
        <v>0</v>
      </c>
      <c r="AR32">
        <v>0</v>
      </c>
      <c r="AS32">
        <v>44350</v>
      </c>
      <c r="AT32">
        <v>35650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656740</v>
      </c>
      <c r="CZ32">
        <v>0</v>
      </c>
      <c r="DA32">
        <v>0</v>
      </c>
      <c r="DB32">
        <v>0</v>
      </c>
      <c r="DC32">
        <v>656740</v>
      </c>
      <c r="DD32">
        <v>621020</v>
      </c>
      <c r="DE32">
        <v>288370</v>
      </c>
      <c r="DF32">
        <v>288300</v>
      </c>
      <c r="DG32">
        <v>44350</v>
      </c>
      <c r="DH32">
        <v>35720</v>
      </c>
      <c r="DI32">
        <v>0</v>
      </c>
      <c r="DJ32">
        <v>621020</v>
      </c>
      <c r="DK32">
        <v>0</v>
      </c>
      <c r="DL32">
        <v>0</v>
      </c>
      <c r="DM32">
        <v>0</v>
      </c>
      <c r="DN32">
        <v>621020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35720</v>
      </c>
      <c r="DV32">
        <v>0</v>
      </c>
      <c r="DW32">
        <v>0</v>
      </c>
      <c r="DX32">
        <v>0</v>
      </c>
      <c r="DY32">
        <v>35720</v>
      </c>
      <c r="DZ32">
        <v>0</v>
      </c>
      <c r="EA32">
        <v>0</v>
      </c>
      <c r="EB32">
        <v>0</v>
      </c>
      <c r="EC32">
        <v>0</v>
      </c>
      <c r="ED32">
        <v>0</v>
      </c>
    </row>
    <row r="33" spans="1:134" ht="13.5">
      <c r="A33" t="str">
        <f>T("074217")</f>
        <v>074217</v>
      </c>
      <c r="B33" t="s">
        <v>235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110809</v>
      </c>
      <c r="P33">
        <v>23524</v>
      </c>
      <c r="Q33">
        <v>0</v>
      </c>
      <c r="R33">
        <v>0</v>
      </c>
      <c r="S33">
        <v>134333</v>
      </c>
      <c r="T33">
        <v>133133</v>
      </c>
      <c r="U33">
        <v>0</v>
      </c>
      <c r="V33">
        <v>59000</v>
      </c>
      <c r="W33">
        <v>74133</v>
      </c>
      <c r="X33">
        <v>1200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110809</v>
      </c>
      <c r="AL33">
        <v>23524</v>
      </c>
      <c r="AM33">
        <v>0</v>
      </c>
      <c r="AN33">
        <v>0</v>
      </c>
      <c r="AO33">
        <v>134333</v>
      </c>
      <c r="AP33">
        <v>133133</v>
      </c>
      <c r="AQ33">
        <v>0</v>
      </c>
      <c r="AR33">
        <v>59000</v>
      </c>
      <c r="AS33">
        <v>74133</v>
      </c>
      <c r="AT33">
        <v>1200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110809</v>
      </c>
      <c r="CZ33">
        <v>23524</v>
      </c>
      <c r="DA33">
        <v>0</v>
      </c>
      <c r="DB33">
        <v>0</v>
      </c>
      <c r="DC33">
        <v>134333</v>
      </c>
      <c r="DD33">
        <v>133133</v>
      </c>
      <c r="DE33">
        <v>0</v>
      </c>
      <c r="DF33">
        <v>59000</v>
      </c>
      <c r="DG33">
        <v>74133</v>
      </c>
      <c r="DH33">
        <v>1200</v>
      </c>
      <c r="DI33">
        <v>0</v>
      </c>
      <c r="DJ33">
        <v>110094</v>
      </c>
      <c r="DK33">
        <v>23039</v>
      </c>
      <c r="DL33">
        <v>0</v>
      </c>
      <c r="DM33">
        <v>0</v>
      </c>
      <c r="DN33">
        <v>133133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715</v>
      </c>
      <c r="DV33">
        <v>485</v>
      </c>
      <c r="DW33">
        <v>0</v>
      </c>
      <c r="DX33">
        <v>0</v>
      </c>
      <c r="DY33">
        <v>1200</v>
      </c>
      <c r="DZ33">
        <v>0</v>
      </c>
      <c r="EA33">
        <v>0</v>
      </c>
      <c r="EB33">
        <v>0</v>
      </c>
      <c r="EC33">
        <v>0</v>
      </c>
      <c r="ED33">
        <v>0</v>
      </c>
    </row>
    <row r="34" spans="1:134" ht="13.5">
      <c r="A34" t="str">
        <f>T("074225")</f>
        <v>074225</v>
      </c>
      <c r="B34" t="s">
        <v>236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1155</v>
      </c>
      <c r="P34">
        <v>0</v>
      </c>
      <c r="Q34">
        <v>0</v>
      </c>
      <c r="R34">
        <v>0</v>
      </c>
      <c r="S34">
        <v>1155</v>
      </c>
      <c r="T34">
        <v>0</v>
      </c>
      <c r="U34">
        <v>0</v>
      </c>
      <c r="V34">
        <v>0</v>
      </c>
      <c r="W34">
        <v>0</v>
      </c>
      <c r="X34">
        <v>1155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1155</v>
      </c>
      <c r="AL34">
        <v>0</v>
      </c>
      <c r="AM34">
        <v>0</v>
      </c>
      <c r="AN34">
        <v>0</v>
      </c>
      <c r="AO34">
        <v>1155</v>
      </c>
      <c r="AP34">
        <v>0</v>
      </c>
      <c r="AQ34">
        <v>0</v>
      </c>
      <c r="AR34">
        <v>0</v>
      </c>
      <c r="AS34">
        <v>0</v>
      </c>
      <c r="AT34">
        <v>1155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1155</v>
      </c>
      <c r="CZ34">
        <v>0</v>
      </c>
      <c r="DA34">
        <v>0</v>
      </c>
      <c r="DB34">
        <v>0</v>
      </c>
      <c r="DC34">
        <v>1155</v>
      </c>
      <c r="DD34">
        <v>0</v>
      </c>
      <c r="DE34">
        <v>0</v>
      </c>
      <c r="DF34">
        <v>0</v>
      </c>
      <c r="DG34">
        <v>0</v>
      </c>
      <c r="DH34">
        <v>1155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1155</v>
      </c>
      <c r="DV34">
        <v>0</v>
      </c>
      <c r="DW34">
        <v>0</v>
      </c>
      <c r="DX34">
        <v>0</v>
      </c>
      <c r="DY34">
        <v>1155</v>
      </c>
      <c r="DZ34">
        <v>0</v>
      </c>
      <c r="EA34">
        <v>0</v>
      </c>
      <c r="EB34">
        <v>0</v>
      </c>
      <c r="EC34">
        <v>0</v>
      </c>
      <c r="ED34">
        <v>0</v>
      </c>
    </row>
    <row r="35" spans="1:134" ht="13.5">
      <c r="A35" t="str">
        <f>T("074233")</f>
        <v>074233</v>
      </c>
      <c r="B35" t="s">
        <v>237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46747</v>
      </c>
      <c r="P35">
        <v>0</v>
      </c>
      <c r="Q35">
        <v>0</v>
      </c>
      <c r="R35">
        <v>0</v>
      </c>
      <c r="S35">
        <v>46747</v>
      </c>
      <c r="T35">
        <v>39979</v>
      </c>
      <c r="U35">
        <v>0</v>
      </c>
      <c r="V35">
        <v>26900</v>
      </c>
      <c r="W35">
        <v>13079</v>
      </c>
      <c r="X35">
        <v>6768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46747</v>
      </c>
      <c r="AL35">
        <v>0</v>
      </c>
      <c r="AM35">
        <v>0</v>
      </c>
      <c r="AN35">
        <v>0</v>
      </c>
      <c r="AO35">
        <v>46747</v>
      </c>
      <c r="AP35">
        <v>39979</v>
      </c>
      <c r="AQ35">
        <v>0</v>
      </c>
      <c r="AR35">
        <v>26900</v>
      </c>
      <c r="AS35">
        <v>13079</v>
      </c>
      <c r="AT35">
        <v>6768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21141</v>
      </c>
      <c r="BH35">
        <v>0</v>
      </c>
      <c r="BI35">
        <v>0</v>
      </c>
      <c r="BJ35">
        <v>0</v>
      </c>
      <c r="BK35">
        <v>21141</v>
      </c>
      <c r="BL35">
        <v>20480</v>
      </c>
      <c r="BM35">
        <v>15480</v>
      </c>
      <c r="BN35">
        <v>5000</v>
      </c>
      <c r="BO35">
        <v>0</v>
      </c>
      <c r="BP35">
        <v>661</v>
      </c>
      <c r="BQ35">
        <v>0</v>
      </c>
      <c r="BR35">
        <v>21141</v>
      </c>
      <c r="BS35">
        <v>0</v>
      </c>
      <c r="BT35">
        <v>0</v>
      </c>
      <c r="BU35">
        <v>0</v>
      </c>
      <c r="BV35">
        <v>21141</v>
      </c>
      <c r="BW35">
        <v>20480</v>
      </c>
      <c r="BX35">
        <v>15480</v>
      </c>
      <c r="BY35">
        <v>5000</v>
      </c>
      <c r="BZ35">
        <v>0</v>
      </c>
      <c r="CA35">
        <v>661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4050</v>
      </c>
      <c r="CO35">
        <v>0</v>
      </c>
      <c r="CP35">
        <v>0</v>
      </c>
      <c r="CQ35">
        <v>0</v>
      </c>
      <c r="CR35">
        <v>4050</v>
      </c>
      <c r="CS35">
        <v>0</v>
      </c>
      <c r="CT35">
        <v>0</v>
      </c>
      <c r="CU35">
        <v>0</v>
      </c>
      <c r="CV35">
        <v>0</v>
      </c>
      <c r="CW35">
        <v>4050</v>
      </c>
      <c r="CX35">
        <v>0</v>
      </c>
      <c r="CY35">
        <v>71938</v>
      </c>
      <c r="CZ35">
        <v>0</v>
      </c>
      <c r="DA35">
        <v>0</v>
      </c>
      <c r="DB35">
        <v>0</v>
      </c>
      <c r="DC35">
        <v>71938</v>
      </c>
      <c r="DD35">
        <v>60459</v>
      </c>
      <c r="DE35">
        <v>15480</v>
      </c>
      <c r="DF35">
        <v>31900</v>
      </c>
      <c r="DG35">
        <v>13079</v>
      </c>
      <c r="DH35">
        <v>11479</v>
      </c>
      <c r="DI35">
        <v>0</v>
      </c>
      <c r="DJ35">
        <v>60459</v>
      </c>
      <c r="DK35">
        <v>0</v>
      </c>
      <c r="DL35">
        <v>0</v>
      </c>
      <c r="DM35">
        <v>0</v>
      </c>
      <c r="DN35">
        <v>60459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11479</v>
      </c>
      <c r="DV35">
        <v>0</v>
      </c>
      <c r="DW35">
        <v>0</v>
      </c>
      <c r="DX35">
        <v>0</v>
      </c>
      <c r="DY35">
        <v>11479</v>
      </c>
      <c r="DZ35">
        <v>0</v>
      </c>
      <c r="EA35">
        <v>0</v>
      </c>
      <c r="EB35">
        <v>0</v>
      </c>
      <c r="EC35">
        <v>0</v>
      </c>
      <c r="ED35">
        <v>0</v>
      </c>
    </row>
    <row r="36" spans="1:134" ht="13.5">
      <c r="A36" t="str">
        <f>T("074446")</f>
        <v>074446</v>
      </c>
      <c r="B36" t="s">
        <v>238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</row>
    <row r="37" spans="1:134" ht="13.5">
      <c r="A37" t="str">
        <f>T("074454")</f>
        <v>074454</v>
      </c>
      <c r="B37" t="s">
        <v>239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</row>
    <row r="38" spans="1:134" ht="13.5">
      <c r="A38" t="str">
        <f>T("074462")</f>
        <v>074462</v>
      </c>
      <c r="B38" t="s">
        <v>240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</row>
    <row r="39" spans="1:134" ht="13.5">
      <c r="A39" t="str">
        <f>T("074471")</f>
        <v>074471</v>
      </c>
      <c r="B39" t="s">
        <v>241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475011</v>
      </c>
      <c r="P39">
        <v>0</v>
      </c>
      <c r="Q39">
        <v>0</v>
      </c>
      <c r="R39">
        <v>0</v>
      </c>
      <c r="S39">
        <v>475011</v>
      </c>
      <c r="T39">
        <v>447026</v>
      </c>
      <c r="U39">
        <v>140926</v>
      </c>
      <c r="V39">
        <v>306100</v>
      </c>
      <c r="W39">
        <v>0</v>
      </c>
      <c r="X39">
        <v>27985</v>
      </c>
      <c r="Y39">
        <v>0</v>
      </c>
      <c r="Z39">
        <v>463800</v>
      </c>
      <c r="AA39">
        <v>0</v>
      </c>
      <c r="AB39">
        <v>0</v>
      </c>
      <c r="AC39">
        <v>0</v>
      </c>
      <c r="AD39">
        <v>463800</v>
      </c>
      <c r="AE39">
        <v>447026</v>
      </c>
      <c r="AF39">
        <v>140926</v>
      </c>
      <c r="AG39">
        <v>306100</v>
      </c>
      <c r="AH39">
        <v>0</v>
      </c>
      <c r="AI39">
        <v>16774</v>
      </c>
      <c r="AJ39">
        <v>0</v>
      </c>
      <c r="AK39">
        <v>11211</v>
      </c>
      <c r="AL39">
        <v>0</v>
      </c>
      <c r="AM39">
        <v>0</v>
      </c>
      <c r="AN39">
        <v>0</v>
      </c>
      <c r="AO39">
        <v>11211</v>
      </c>
      <c r="AP39">
        <v>0</v>
      </c>
      <c r="AQ39">
        <v>0</v>
      </c>
      <c r="AR39">
        <v>0</v>
      </c>
      <c r="AS39">
        <v>0</v>
      </c>
      <c r="AT39">
        <v>11211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2205</v>
      </c>
      <c r="CO39">
        <v>0</v>
      </c>
      <c r="CP39">
        <v>0</v>
      </c>
      <c r="CQ39">
        <v>0</v>
      </c>
      <c r="CR39">
        <v>2205</v>
      </c>
      <c r="CS39">
        <v>0</v>
      </c>
      <c r="CT39">
        <v>0</v>
      </c>
      <c r="CU39">
        <v>0</v>
      </c>
      <c r="CV39">
        <v>0</v>
      </c>
      <c r="CW39">
        <v>2205</v>
      </c>
      <c r="CX39">
        <v>0</v>
      </c>
      <c r="CY39">
        <v>477216</v>
      </c>
      <c r="CZ39">
        <v>0</v>
      </c>
      <c r="DA39">
        <v>0</v>
      </c>
      <c r="DB39">
        <v>0</v>
      </c>
      <c r="DC39">
        <v>477216</v>
      </c>
      <c r="DD39">
        <v>447026</v>
      </c>
      <c r="DE39">
        <v>140926</v>
      </c>
      <c r="DF39">
        <v>306100</v>
      </c>
      <c r="DG39">
        <v>0</v>
      </c>
      <c r="DH39">
        <v>30190</v>
      </c>
      <c r="DI39">
        <v>0</v>
      </c>
      <c r="DJ39">
        <v>447026</v>
      </c>
      <c r="DK39">
        <v>0</v>
      </c>
      <c r="DL39">
        <v>0</v>
      </c>
      <c r="DM39">
        <v>0</v>
      </c>
      <c r="DN39">
        <v>447026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30190</v>
      </c>
      <c r="DV39">
        <v>0</v>
      </c>
      <c r="DW39">
        <v>0</v>
      </c>
      <c r="DX39">
        <v>0</v>
      </c>
      <c r="DY39">
        <v>30190</v>
      </c>
      <c r="DZ39">
        <v>0</v>
      </c>
      <c r="EA39">
        <v>0</v>
      </c>
      <c r="EB39">
        <v>0</v>
      </c>
      <c r="EC39">
        <v>0</v>
      </c>
      <c r="ED39">
        <v>0</v>
      </c>
    </row>
    <row r="40" spans="1:134" ht="13.5">
      <c r="A40" t="str">
        <f>T("074616")</f>
        <v>074616</v>
      </c>
      <c r="B40" t="s">
        <v>242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18228</v>
      </c>
      <c r="P40">
        <v>0</v>
      </c>
      <c r="Q40">
        <v>0</v>
      </c>
      <c r="R40">
        <v>0</v>
      </c>
      <c r="S40">
        <v>18228</v>
      </c>
      <c r="T40">
        <v>9543</v>
      </c>
      <c r="U40">
        <v>0</v>
      </c>
      <c r="V40">
        <v>0</v>
      </c>
      <c r="W40">
        <v>9543</v>
      </c>
      <c r="X40">
        <v>8685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18228</v>
      </c>
      <c r="AL40">
        <v>0</v>
      </c>
      <c r="AM40">
        <v>0</v>
      </c>
      <c r="AN40">
        <v>0</v>
      </c>
      <c r="AO40">
        <v>18228</v>
      </c>
      <c r="AP40">
        <v>9543</v>
      </c>
      <c r="AQ40">
        <v>0</v>
      </c>
      <c r="AR40">
        <v>0</v>
      </c>
      <c r="AS40">
        <v>9543</v>
      </c>
      <c r="AT40">
        <v>8685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18228</v>
      </c>
      <c r="CZ40">
        <v>0</v>
      </c>
      <c r="DA40">
        <v>0</v>
      </c>
      <c r="DB40">
        <v>0</v>
      </c>
      <c r="DC40">
        <v>18228</v>
      </c>
      <c r="DD40">
        <v>9543</v>
      </c>
      <c r="DE40">
        <v>0</v>
      </c>
      <c r="DF40">
        <v>0</v>
      </c>
      <c r="DG40">
        <v>9543</v>
      </c>
      <c r="DH40">
        <v>8685</v>
      </c>
      <c r="DI40">
        <v>0</v>
      </c>
      <c r="DJ40">
        <v>9543</v>
      </c>
      <c r="DK40">
        <v>0</v>
      </c>
      <c r="DL40">
        <v>0</v>
      </c>
      <c r="DM40">
        <v>0</v>
      </c>
      <c r="DN40">
        <v>9543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8685</v>
      </c>
      <c r="DV40">
        <v>0</v>
      </c>
      <c r="DW40">
        <v>0</v>
      </c>
      <c r="DX40">
        <v>0</v>
      </c>
      <c r="DY40">
        <v>8685</v>
      </c>
      <c r="DZ40">
        <v>0</v>
      </c>
      <c r="EA40">
        <v>0</v>
      </c>
      <c r="EB40">
        <v>0</v>
      </c>
      <c r="EC40">
        <v>0</v>
      </c>
      <c r="ED40">
        <v>0</v>
      </c>
    </row>
    <row r="41" spans="1:134" ht="13.5">
      <c r="A41" t="str">
        <f>T("074641")</f>
        <v>074641</v>
      </c>
      <c r="B41" t="s">
        <v>243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</row>
    <row r="42" spans="1:134" ht="13.5">
      <c r="A42" t="str">
        <f>T("074659")</f>
        <v>074659</v>
      </c>
      <c r="B42" t="s">
        <v>244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</row>
    <row r="43" spans="1:134" ht="13.5">
      <c r="A43" t="str">
        <f>T("074667")</f>
        <v>074667</v>
      </c>
      <c r="B43" t="s">
        <v>245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</row>
    <row r="44" spans="1:134" ht="13.5">
      <c r="A44" t="str">
        <f>T("074811")</f>
        <v>074811</v>
      </c>
      <c r="B44" t="s">
        <v>246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213300</v>
      </c>
      <c r="P44">
        <v>0</v>
      </c>
      <c r="Q44">
        <v>0</v>
      </c>
      <c r="R44">
        <v>0</v>
      </c>
      <c r="S44">
        <v>213300</v>
      </c>
      <c r="T44">
        <v>196437</v>
      </c>
      <c r="U44">
        <v>77237</v>
      </c>
      <c r="V44">
        <v>119200</v>
      </c>
      <c r="W44">
        <v>0</v>
      </c>
      <c r="X44">
        <v>16863</v>
      </c>
      <c r="Y44">
        <v>0</v>
      </c>
      <c r="Z44">
        <v>213300</v>
      </c>
      <c r="AA44">
        <v>0</v>
      </c>
      <c r="AB44">
        <v>0</v>
      </c>
      <c r="AC44">
        <v>0</v>
      </c>
      <c r="AD44">
        <v>213300</v>
      </c>
      <c r="AE44">
        <v>196437</v>
      </c>
      <c r="AF44">
        <v>77237</v>
      </c>
      <c r="AG44">
        <v>119200</v>
      </c>
      <c r="AH44">
        <v>0</v>
      </c>
      <c r="AI44">
        <v>16863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213300</v>
      </c>
      <c r="CZ44">
        <v>0</v>
      </c>
      <c r="DA44">
        <v>0</v>
      </c>
      <c r="DB44">
        <v>0</v>
      </c>
      <c r="DC44">
        <v>213300</v>
      </c>
      <c r="DD44">
        <v>196437</v>
      </c>
      <c r="DE44">
        <v>77237</v>
      </c>
      <c r="DF44">
        <v>119200</v>
      </c>
      <c r="DG44">
        <v>0</v>
      </c>
      <c r="DH44">
        <v>16863</v>
      </c>
      <c r="DI44">
        <v>0</v>
      </c>
      <c r="DJ44">
        <v>196437</v>
      </c>
      <c r="DK44">
        <v>0</v>
      </c>
      <c r="DL44">
        <v>0</v>
      </c>
      <c r="DM44">
        <v>0</v>
      </c>
      <c r="DN44">
        <v>196437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16863</v>
      </c>
      <c r="DV44">
        <v>0</v>
      </c>
      <c r="DW44">
        <v>0</v>
      </c>
      <c r="DX44">
        <v>0</v>
      </c>
      <c r="DY44">
        <v>16863</v>
      </c>
      <c r="DZ44">
        <v>0</v>
      </c>
      <c r="EA44">
        <v>0</v>
      </c>
      <c r="EB44">
        <v>0</v>
      </c>
      <c r="EC44">
        <v>0</v>
      </c>
      <c r="ED44">
        <v>0</v>
      </c>
    </row>
    <row r="45" spans="1:134" ht="13.5">
      <c r="A45" t="str">
        <f>T("074829")</f>
        <v>074829</v>
      </c>
      <c r="B45" t="s">
        <v>247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10680</v>
      </c>
      <c r="BH45">
        <v>0</v>
      </c>
      <c r="BI45">
        <v>0</v>
      </c>
      <c r="BJ45">
        <v>0</v>
      </c>
      <c r="BK45">
        <v>10680</v>
      </c>
      <c r="BL45">
        <v>9710</v>
      </c>
      <c r="BM45">
        <v>5710</v>
      </c>
      <c r="BN45">
        <v>4000</v>
      </c>
      <c r="BO45">
        <v>0</v>
      </c>
      <c r="BP45">
        <v>970</v>
      </c>
      <c r="BQ45">
        <v>0</v>
      </c>
      <c r="BR45">
        <v>10680</v>
      </c>
      <c r="BS45">
        <v>0</v>
      </c>
      <c r="BT45">
        <v>0</v>
      </c>
      <c r="BU45">
        <v>0</v>
      </c>
      <c r="BV45">
        <v>10680</v>
      </c>
      <c r="BW45">
        <v>9710</v>
      </c>
      <c r="BX45">
        <v>5710</v>
      </c>
      <c r="BY45">
        <v>4000</v>
      </c>
      <c r="BZ45">
        <v>0</v>
      </c>
      <c r="CA45">
        <v>970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10680</v>
      </c>
      <c r="CZ45">
        <v>0</v>
      </c>
      <c r="DA45">
        <v>0</v>
      </c>
      <c r="DB45">
        <v>0</v>
      </c>
      <c r="DC45">
        <v>10680</v>
      </c>
      <c r="DD45">
        <v>9710</v>
      </c>
      <c r="DE45">
        <v>5710</v>
      </c>
      <c r="DF45">
        <v>4000</v>
      </c>
      <c r="DG45">
        <v>0</v>
      </c>
      <c r="DH45">
        <v>970</v>
      </c>
      <c r="DI45">
        <v>0</v>
      </c>
      <c r="DJ45">
        <v>9710</v>
      </c>
      <c r="DK45">
        <v>0</v>
      </c>
      <c r="DL45">
        <v>0</v>
      </c>
      <c r="DM45">
        <v>0</v>
      </c>
      <c r="DN45">
        <v>9710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970</v>
      </c>
      <c r="DV45">
        <v>0</v>
      </c>
      <c r="DW45">
        <v>0</v>
      </c>
      <c r="DX45">
        <v>0</v>
      </c>
      <c r="DY45">
        <v>970</v>
      </c>
      <c r="DZ45">
        <v>0</v>
      </c>
      <c r="EA45">
        <v>0</v>
      </c>
      <c r="EB45">
        <v>0</v>
      </c>
      <c r="EC45">
        <v>0</v>
      </c>
      <c r="ED45">
        <v>0</v>
      </c>
    </row>
    <row r="46" spans="1:134" ht="13.5">
      <c r="A46" t="str">
        <f>T("074837")</f>
        <v>074837</v>
      </c>
      <c r="B46" t="s">
        <v>248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54920</v>
      </c>
      <c r="O46">
        <v>16920</v>
      </c>
      <c r="P46">
        <v>0</v>
      </c>
      <c r="Q46">
        <v>0</v>
      </c>
      <c r="R46">
        <v>0</v>
      </c>
      <c r="S46">
        <v>71840</v>
      </c>
      <c r="T46">
        <v>54906</v>
      </c>
      <c r="U46">
        <v>0</v>
      </c>
      <c r="V46">
        <v>24700</v>
      </c>
      <c r="W46">
        <v>30206</v>
      </c>
      <c r="X46">
        <v>16934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54920</v>
      </c>
      <c r="AK46">
        <v>16920</v>
      </c>
      <c r="AL46">
        <v>0</v>
      </c>
      <c r="AM46">
        <v>0</v>
      </c>
      <c r="AN46">
        <v>0</v>
      </c>
      <c r="AO46">
        <v>71840</v>
      </c>
      <c r="AP46">
        <v>54906</v>
      </c>
      <c r="AQ46">
        <v>0</v>
      </c>
      <c r="AR46">
        <v>24700</v>
      </c>
      <c r="AS46">
        <v>30206</v>
      </c>
      <c r="AT46">
        <v>16934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16084</v>
      </c>
      <c r="BH46">
        <v>0</v>
      </c>
      <c r="BI46">
        <v>0</v>
      </c>
      <c r="BJ46">
        <v>0</v>
      </c>
      <c r="BK46">
        <v>16084</v>
      </c>
      <c r="BL46">
        <v>15062</v>
      </c>
      <c r="BM46">
        <v>0</v>
      </c>
      <c r="BN46">
        <v>4800</v>
      </c>
      <c r="BO46">
        <v>10262</v>
      </c>
      <c r="BP46">
        <v>1022</v>
      </c>
      <c r="BQ46">
        <v>0</v>
      </c>
      <c r="BR46">
        <v>16084</v>
      </c>
      <c r="BS46">
        <v>0</v>
      </c>
      <c r="BT46">
        <v>0</v>
      </c>
      <c r="BU46">
        <v>0</v>
      </c>
      <c r="BV46">
        <v>16084</v>
      </c>
      <c r="BW46">
        <v>15062</v>
      </c>
      <c r="BX46">
        <v>0</v>
      </c>
      <c r="BY46">
        <v>4800</v>
      </c>
      <c r="BZ46">
        <v>10262</v>
      </c>
      <c r="CA46">
        <v>1022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54920</v>
      </c>
      <c r="CY46">
        <v>33004</v>
      </c>
      <c r="CZ46">
        <v>0</v>
      </c>
      <c r="DA46">
        <v>0</v>
      </c>
      <c r="DB46">
        <v>0</v>
      </c>
      <c r="DC46">
        <v>87924</v>
      </c>
      <c r="DD46">
        <v>69968</v>
      </c>
      <c r="DE46">
        <v>0</v>
      </c>
      <c r="DF46">
        <v>29500</v>
      </c>
      <c r="DG46">
        <v>40468</v>
      </c>
      <c r="DH46">
        <v>17956</v>
      </c>
      <c r="DI46">
        <v>54906</v>
      </c>
      <c r="DJ46">
        <v>15062</v>
      </c>
      <c r="DK46">
        <v>0</v>
      </c>
      <c r="DL46">
        <v>0</v>
      </c>
      <c r="DM46">
        <v>0</v>
      </c>
      <c r="DN46">
        <v>69968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14</v>
      </c>
      <c r="DU46">
        <v>17942</v>
      </c>
      <c r="DV46">
        <v>0</v>
      </c>
      <c r="DW46">
        <v>0</v>
      </c>
      <c r="DX46">
        <v>0</v>
      </c>
      <c r="DY46">
        <v>17956</v>
      </c>
      <c r="DZ46">
        <v>0</v>
      </c>
      <c r="EA46">
        <v>0</v>
      </c>
      <c r="EB46">
        <v>0</v>
      </c>
      <c r="EC46">
        <v>0</v>
      </c>
      <c r="ED46">
        <v>0</v>
      </c>
    </row>
    <row r="47" spans="1:134" ht="13.5">
      <c r="A47" t="str">
        <f>T("074845")</f>
        <v>074845</v>
      </c>
      <c r="B47" t="s">
        <v>249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2625</v>
      </c>
      <c r="CO47">
        <v>0</v>
      </c>
      <c r="CP47">
        <v>0</v>
      </c>
      <c r="CQ47">
        <v>0</v>
      </c>
      <c r="CR47">
        <v>2625</v>
      </c>
      <c r="CS47">
        <v>0</v>
      </c>
      <c r="CT47">
        <v>0</v>
      </c>
      <c r="CU47">
        <v>0</v>
      </c>
      <c r="CV47">
        <v>0</v>
      </c>
      <c r="CW47">
        <v>2625</v>
      </c>
      <c r="CX47">
        <v>0</v>
      </c>
      <c r="CY47">
        <v>2625</v>
      </c>
      <c r="CZ47">
        <v>0</v>
      </c>
      <c r="DA47">
        <v>0</v>
      </c>
      <c r="DB47">
        <v>0</v>
      </c>
      <c r="DC47">
        <v>2625</v>
      </c>
      <c r="DD47">
        <v>0</v>
      </c>
      <c r="DE47">
        <v>0</v>
      </c>
      <c r="DF47">
        <v>0</v>
      </c>
      <c r="DG47">
        <v>0</v>
      </c>
      <c r="DH47">
        <v>2625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2625</v>
      </c>
      <c r="DV47">
        <v>0</v>
      </c>
      <c r="DW47">
        <v>0</v>
      </c>
      <c r="DX47">
        <v>0</v>
      </c>
      <c r="DY47">
        <v>2625</v>
      </c>
      <c r="DZ47">
        <v>0</v>
      </c>
      <c r="EA47">
        <v>0</v>
      </c>
      <c r="EB47">
        <v>0</v>
      </c>
      <c r="EC47">
        <v>0</v>
      </c>
      <c r="ED47">
        <v>0</v>
      </c>
    </row>
    <row r="48" spans="1:134" ht="13.5">
      <c r="A48" t="str">
        <f>T("075019")</f>
        <v>075019</v>
      </c>
      <c r="B48" t="s">
        <v>250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</row>
    <row r="49" spans="1:134" ht="13.5">
      <c r="A49" t="str">
        <f>T("075027")</f>
        <v>075027</v>
      </c>
      <c r="B49" t="s">
        <v>251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</row>
    <row r="50" spans="1:134" ht="13.5">
      <c r="A50" t="str">
        <f>T("075035")</f>
        <v>075035</v>
      </c>
      <c r="B50" t="s">
        <v>252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</row>
    <row r="51" spans="1:134" ht="13.5">
      <c r="A51" t="str">
        <f>T("075043")</f>
        <v>075043</v>
      </c>
      <c r="B51" t="s">
        <v>253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</row>
    <row r="52" spans="1:134" ht="13.5">
      <c r="A52" t="str">
        <f>T("075051")</f>
        <v>075051</v>
      </c>
      <c r="B52" t="s">
        <v>254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</row>
    <row r="53" spans="1:134" ht="13.5">
      <c r="A53" t="str">
        <f>T("075213")</f>
        <v>075213</v>
      </c>
      <c r="B53" t="s">
        <v>255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</row>
    <row r="54" spans="1:134" ht="13.5">
      <c r="A54" t="str">
        <f>T("075221")</f>
        <v>075221</v>
      </c>
      <c r="B54" t="s">
        <v>256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68537</v>
      </c>
      <c r="BH54">
        <v>0</v>
      </c>
      <c r="BI54">
        <v>0</v>
      </c>
      <c r="BJ54">
        <v>0</v>
      </c>
      <c r="BK54">
        <v>68537</v>
      </c>
      <c r="BL54">
        <v>66934</v>
      </c>
      <c r="BM54">
        <v>29366</v>
      </c>
      <c r="BN54">
        <v>15300</v>
      </c>
      <c r="BO54">
        <v>22268</v>
      </c>
      <c r="BP54">
        <v>1603</v>
      </c>
      <c r="BQ54">
        <v>0</v>
      </c>
      <c r="BR54">
        <v>67181</v>
      </c>
      <c r="BS54">
        <v>0</v>
      </c>
      <c r="BT54">
        <v>0</v>
      </c>
      <c r="BU54">
        <v>0</v>
      </c>
      <c r="BV54">
        <v>67181</v>
      </c>
      <c r="BW54">
        <v>65578</v>
      </c>
      <c r="BX54">
        <v>29366</v>
      </c>
      <c r="BY54">
        <v>15300</v>
      </c>
      <c r="BZ54">
        <v>20912</v>
      </c>
      <c r="CA54">
        <v>1603</v>
      </c>
      <c r="CB54">
        <v>0</v>
      </c>
      <c r="CC54">
        <v>1356</v>
      </c>
      <c r="CD54">
        <v>0</v>
      </c>
      <c r="CE54">
        <v>0</v>
      </c>
      <c r="CF54">
        <v>0</v>
      </c>
      <c r="CG54">
        <v>1356</v>
      </c>
      <c r="CH54">
        <v>1356</v>
      </c>
      <c r="CI54">
        <v>0</v>
      </c>
      <c r="CJ54">
        <v>0</v>
      </c>
      <c r="CK54">
        <v>1356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68537</v>
      </c>
      <c r="CZ54">
        <v>0</v>
      </c>
      <c r="DA54">
        <v>0</v>
      </c>
      <c r="DB54">
        <v>0</v>
      </c>
      <c r="DC54">
        <v>68537</v>
      </c>
      <c r="DD54">
        <v>66934</v>
      </c>
      <c r="DE54">
        <v>29366</v>
      </c>
      <c r="DF54">
        <v>15300</v>
      </c>
      <c r="DG54">
        <v>22268</v>
      </c>
      <c r="DH54">
        <v>1603</v>
      </c>
      <c r="DI54">
        <v>0</v>
      </c>
      <c r="DJ54">
        <v>66934</v>
      </c>
      <c r="DK54">
        <v>0</v>
      </c>
      <c r="DL54">
        <v>0</v>
      </c>
      <c r="DM54">
        <v>0</v>
      </c>
      <c r="DN54">
        <v>66934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1603</v>
      </c>
      <c r="DV54">
        <v>0</v>
      </c>
      <c r="DW54">
        <v>0</v>
      </c>
      <c r="DX54">
        <v>0</v>
      </c>
      <c r="DY54">
        <v>1603</v>
      </c>
      <c r="DZ54">
        <v>0</v>
      </c>
      <c r="EA54">
        <v>0</v>
      </c>
      <c r="EB54">
        <v>0</v>
      </c>
      <c r="EC54">
        <v>0</v>
      </c>
      <c r="ED54">
        <v>0</v>
      </c>
    </row>
    <row r="55" spans="1:134" ht="13.5">
      <c r="A55" t="str">
        <f>T("075418")</f>
        <v>075418</v>
      </c>
      <c r="B55" t="s">
        <v>257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</row>
    <row r="56" spans="1:134" ht="13.5">
      <c r="A56" t="str">
        <f>T("075426")</f>
        <v>075426</v>
      </c>
      <c r="B56" t="s">
        <v>258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4323</v>
      </c>
      <c r="P56">
        <v>0</v>
      </c>
      <c r="Q56">
        <v>0</v>
      </c>
      <c r="R56">
        <v>0</v>
      </c>
      <c r="S56">
        <v>4323</v>
      </c>
      <c r="T56">
        <v>0</v>
      </c>
      <c r="U56">
        <v>0</v>
      </c>
      <c r="V56">
        <v>0</v>
      </c>
      <c r="W56">
        <v>0</v>
      </c>
      <c r="X56">
        <v>4323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4323</v>
      </c>
      <c r="AL56">
        <v>0</v>
      </c>
      <c r="AM56">
        <v>0</v>
      </c>
      <c r="AN56">
        <v>0</v>
      </c>
      <c r="AO56">
        <v>4323</v>
      </c>
      <c r="AP56">
        <v>0</v>
      </c>
      <c r="AQ56">
        <v>0</v>
      </c>
      <c r="AR56">
        <v>0</v>
      </c>
      <c r="AS56">
        <v>0</v>
      </c>
      <c r="AT56">
        <v>4323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2563</v>
      </c>
      <c r="CO56">
        <v>0</v>
      </c>
      <c r="CP56">
        <v>0</v>
      </c>
      <c r="CQ56">
        <v>0</v>
      </c>
      <c r="CR56">
        <v>2563</v>
      </c>
      <c r="CS56">
        <v>0</v>
      </c>
      <c r="CT56">
        <v>0</v>
      </c>
      <c r="CU56">
        <v>0</v>
      </c>
      <c r="CV56">
        <v>0</v>
      </c>
      <c r="CW56">
        <v>2563</v>
      </c>
      <c r="CX56">
        <v>0</v>
      </c>
      <c r="CY56">
        <v>6886</v>
      </c>
      <c r="CZ56">
        <v>0</v>
      </c>
      <c r="DA56">
        <v>0</v>
      </c>
      <c r="DB56">
        <v>0</v>
      </c>
      <c r="DC56">
        <v>6886</v>
      </c>
      <c r="DD56">
        <v>0</v>
      </c>
      <c r="DE56">
        <v>0</v>
      </c>
      <c r="DF56">
        <v>0</v>
      </c>
      <c r="DG56">
        <v>0</v>
      </c>
      <c r="DH56">
        <v>6886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6886</v>
      </c>
      <c r="DV56">
        <v>0</v>
      </c>
      <c r="DW56">
        <v>0</v>
      </c>
      <c r="DX56">
        <v>0</v>
      </c>
      <c r="DY56">
        <v>6886</v>
      </c>
      <c r="DZ56">
        <v>0</v>
      </c>
      <c r="EA56">
        <v>0</v>
      </c>
      <c r="EB56">
        <v>0</v>
      </c>
      <c r="EC56">
        <v>0</v>
      </c>
      <c r="ED56">
        <v>0</v>
      </c>
    </row>
    <row r="57" spans="1:134" ht="13.5">
      <c r="A57" t="str">
        <f>T("075434")</f>
        <v>075434</v>
      </c>
      <c r="B57" t="s">
        <v>259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</row>
    <row r="58" spans="1:134" ht="13.5">
      <c r="A58" t="str">
        <f>T("075442")</f>
        <v>075442</v>
      </c>
      <c r="B58" t="s">
        <v>260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41091</v>
      </c>
      <c r="P58">
        <v>0</v>
      </c>
      <c r="Q58">
        <v>0</v>
      </c>
      <c r="R58">
        <v>0</v>
      </c>
      <c r="S58">
        <v>41091</v>
      </c>
      <c r="T58">
        <v>3358</v>
      </c>
      <c r="U58">
        <v>0</v>
      </c>
      <c r="V58">
        <v>0</v>
      </c>
      <c r="W58">
        <v>3358</v>
      </c>
      <c r="X58">
        <v>37733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41091</v>
      </c>
      <c r="AL58">
        <v>0</v>
      </c>
      <c r="AM58">
        <v>0</v>
      </c>
      <c r="AN58">
        <v>0</v>
      </c>
      <c r="AO58">
        <v>41091</v>
      </c>
      <c r="AP58">
        <v>3358</v>
      </c>
      <c r="AQ58">
        <v>0</v>
      </c>
      <c r="AR58">
        <v>0</v>
      </c>
      <c r="AS58">
        <v>3358</v>
      </c>
      <c r="AT58">
        <v>37733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62795</v>
      </c>
      <c r="BH58">
        <v>0</v>
      </c>
      <c r="BI58">
        <v>0</v>
      </c>
      <c r="BJ58">
        <v>0</v>
      </c>
      <c r="BK58">
        <v>62795</v>
      </c>
      <c r="BL58">
        <v>54497</v>
      </c>
      <c r="BM58">
        <v>40887</v>
      </c>
      <c r="BN58">
        <v>13400</v>
      </c>
      <c r="BO58">
        <v>210</v>
      </c>
      <c r="BP58">
        <v>8298</v>
      </c>
      <c r="BQ58">
        <v>0</v>
      </c>
      <c r="BR58">
        <v>62795</v>
      </c>
      <c r="BS58">
        <v>0</v>
      </c>
      <c r="BT58">
        <v>0</v>
      </c>
      <c r="BU58">
        <v>0</v>
      </c>
      <c r="BV58">
        <v>62795</v>
      </c>
      <c r="BW58">
        <v>54497</v>
      </c>
      <c r="BX58">
        <v>40887</v>
      </c>
      <c r="BY58">
        <v>13400</v>
      </c>
      <c r="BZ58">
        <v>210</v>
      </c>
      <c r="CA58">
        <v>8298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103886</v>
      </c>
      <c r="CZ58">
        <v>0</v>
      </c>
      <c r="DA58">
        <v>0</v>
      </c>
      <c r="DB58">
        <v>0</v>
      </c>
      <c r="DC58">
        <v>103886</v>
      </c>
      <c r="DD58">
        <v>57855</v>
      </c>
      <c r="DE58">
        <v>40887</v>
      </c>
      <c r="DF58">
        <v>13400</v>
      </c>
      <c r="DG58">
        <v>3568</v>
      </c>
      <c r="DH58">
        <v>46031</v>
      </c>
      <c r="DI58">
        <v>0</v>
      </c>
      <c r="DJ58">
        <v>57855</v>
      </c>
      <c r="DK58">
        <v>0</v>
      </c>
      <c r="DL58">
        <v>0</v>
      </c>
      <c r="DM58">
        <v>0</v>
      </c>
      <c r="DN58">
        <v>57855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46031</v>
      </c>
      <c r="DV58">
        <v>0</v>
      </c>
      <c r="DW58">
        <v>0</v>
      </c>
      <c r="DX58">
        <v>0</v>
      </c>
      <c r="DY58">
        <v>46031</v>
      </c>
      <c r="DZ58">
        <v>0</v>
      </c>
      <c r="EA58">
        <v>0</v>
      </c>
      <c r="EB58">
        <v>0</v>
      </c>
      <c r="EC58">
        <v>0</v>
      </c>
      <c r="ED58">
        <v>0</v>
      </c>
    </row>
    <row r="59" spans="1:134" ht="13.5">
      <c r="A59" t="str">
        <f>T("075451")</f>
        <v>075451</v>
      </c>
      <c r="B59" t="s">
        <v>261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206772</v>
      </c>
      <c r="O59">
        <v>0</v>
      </c>
      <c r="P59">
        <v>0</v>
      </c>
      <c r="Q59">
        <v>0</v>
      </c>
      <c r="R59">
        <v>0</v>
      </c>
      <c r="S59">
        <v>206772</v>
      </c>
      <c r="T59">
        <v>0</v>
      </c>
      <c r="U59">
        <v>0</v>
      </c>
      <c r="V59">
        <v>0</v>
      </c>
      <c r="W59">
        <v>0</v>
      </c>
      <c r="X59">
        <v>206772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206772</v>
      </c>
      <c r="AK59">
        <v>0</v>
      </c>
      <c r="AL59">
        <v>0</v>
      </c>
      <c r="AM59">
        <v>0</v>
      </c>
      <c r="AN59">
        <v>0</v>
      </c>
      <c r="AO59">
        <v>206772</v>
      </c>
      <c r="AP59">
        <v>0</v>
      </c>
      <c r="AQ59">
        <v>0</v>
      </c>
      <c r="AR59">
        <v>0</v>
      </c>
      <c r="AS59">
        <v>0</v>
      </c>
      <c r="AT59">
        <v>206772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206772</v>
      </c>
      <c r="CY59">
        <v>0</v>
      </c>
      <c r="CZ59">
        <v>0</v>
      </c>
      <c r="DA59">
        <v>0</v>
      </c>
      <c r="DB59">
        <v>0</v>
      </c>
      <c r="DC59">
        <v>206772</v>
      </c>
      <c r="DD59">
        <v>0</v>
      </c>
      <c r="DE59">
        <v>0</v>
      </c>
      <c r="DF59">
        <v>0</v>
      </c>
      <c r="DG59">
        <v>0</v>
      </c>
      <c r="DH59">
        <v>206772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206772</v>
      </c>
      <c r="DU59">
        <v>0</v>
      </c>
      <c r="DV59">
        <v>0</v>
      </c>
      <c r="DW59">
        <v>0</v>
      </c>
      <c r="DX59">
        <v>0</v>
      </c>
      <c r="DY59">
        <v>206772</v>
      </c>
      <c r="DZ59">
        <v>0</v>
      </c>
      <c r="EA59">
        <v>0</v>
      </c>
      <c r="EB59">
        <v>0</v>
      </c>
      <c r="EC59">
        <v>0</v>
      </c>
      <c r="ED59">
        <v>0</v>
      </c>
    </row>
    <row r="60" spans="1:134" ht="13.5">
      <c r="A60" t="str">
        <f>T("075469")</f>
        <v>075469</v>
      </c>
      <c r="B60" t="s">
        <v>262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</row>
    <row r="61" spans="1:134" ht="13.5">
      <c r="A61" t="str">
        <f>T("075477")</f>
        <v>075477</v>
      </c>
      <c r="B61" t="s">
        <v>263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</row>
    <row r="62" spans="1:134" ht="13.5">
      <c r="A62" t="str">
        <f>T("075485")</f>
        <v>075485</v>
      </c>
      <c r="B62" t="s">
        <v>264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34965</v>
      </c>
      <c r="P62">
        <v>0</v>
      </c>
      <c r="Q62">
        <v>0</v>
      </c>
      <c r="R62">
        <v>0</v>
      </c>
      <c r="S62">
        <v>34965</v>
      </c>
      <c r="T62">
        <v>0</v>
      </c>
      <c r="U62">
        <v>0</v>
      </c>
      <c r="V62">
        <v>0</v>
      </c>
      <c r="W62">
        <v>0</v>
      </c>
      <c r="X62">
        <v>34965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34965</v>
      </c>
      <c r="AL62">
        <v>0</v>
      </c>
      <c r="AM62">
        <v>0</v>
      </c>
      <c r="AN62">
        <v>0</v>
      </c>
      <c r="AO62">
        <v>34965</v>
      </c>
      <c r="AP62">
        <v>0</v>
      </c>
      <c r="AQ62">
        <v>0</v>
      </c>
      <c r="AR62">
        <v>0</v>
      </c>
      <c r="AS62">
        <v>0</v>
      </c>
      <c r="AT62">
        <v>34965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34965</v>
      </c>
      <c r="CZ62">
        <v>0</v>
      </c>
      <c r="DA62">
        <v>0</v>
      </c>
      <c r="DB62">
        <v>0</v>
      </c>
      <c r="DC62">
        <v>34965</v>
      </c>
      <c r="DD62">
        <v>0</v>
      </c>
      <c r="DE62">
        <v>0</v>
      </c>
      <c r="DF62">
        <v>0</v>
      </c>
      <c r="DG62">
        <v>0</v>
      </c>
      <c r="DH62">
        <v>34965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34965</v>
      </c>
      <c r="DV62">
        <v>0</v>
      </c>
      <c r="DW62">
        <v>0</v>
      </c>
      <c r="DX62">
        <v>0</v>
      </c>
      <c r="DY62">
        <v>34965</v>
      </c>
      <c r="DZ62">
        <v>0</v>
      </c>
      <c r="EA62">
        <v>0</v>
      </c>
      <c r="EB62">
        <v>0</v>
      </c>
      <c r="EC62">
        <v>0</v>
      </c>
      <c r="ED62">
        <v>0</v>
      </c>
    </row>
    <row r="63" spans="1:134" ht="13.5">
      <c r="A63" t="str">
        <f>T("075612")</f>
        <v>075612</v>
      </c>
      <c r="B63" t="s">
        <v>265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</row>
    <row r="64" spans="1:134" ht="13.5">
      <c r="A64" t="str">
        <f>T("075647")</f>
        <v>075647</v>
      </c>
      <c r="B64" t="s">
        <v>295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39368</v>
      </c>
      <c r="P64">
        <v>0</v>
      </c>
      <c r="Q64">
        <v>0</v>
      </c>
      <c r="R64">
        <v>0</v>
      </c>
      <c r="S64">
        <v>39368</v>
      </c>
      <c r="T64">
        <v>0</v>
      </c>
      <c r="U64">
        <v>0</v>
      </c>
      <c r="V64">
        <v>0</v>
      </c>
      <c r="W64">
        <v>0</v>
      </c>
      <c r="X64">
        <v>39368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39368</v>
      </c>
      <c r="AL64">
        <v>0</v>
      </c>
      <c r="AM64">
        <v>0</v>
      </c>
      <c r="AN64">
        <v>0</v>
      </c>
      <c r="AO64">
        <v>39368</v>
      </c>
      <c r="AP64">
        <v>0</v>
      </c>
      <c r="AQ64">
        <v>0</v>
      </c>
      <c r="AR64">
        <v>0</v>
      </c>
      <c r="AS64">
        <v>0</v>
      </c>
      <c r="AT64">
        <v>39368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52025</v>
      </c>
      <c r="BH64">
        <v>0</v>
      </c>
      <c r="BI64">
        <v>0</v>
      </c>
      <c r="BJ64">
        <v>0</v>
      </c>
      <c r="BK64">
        <v>52025</v>
      </c>
      <c r="BL64">
        <v>0</v>
      </c>
      <c r="BM64">
        <v>0</v>
      </c>
      <c r="BN64">
        <v>0</v>
      </c>
      <c r="BO64">
        <v>0</v>
      </c>
      <c r="BP64">
        <v>52025</v>
      </c>
      <c r="BQ64">
        <v>0</v>
      </c>
      <c r="BR64">
        <v>52025</v>
      </c>
      <c r="BS64">
        <v>0</v>
      </c>
      <c r="BT64">
        <v>0</v>
      </c>
      <c r="BU64">
        <v>0</v>
      </c>
      <c r="BV64">
        <v>52025</v>
      </c>
      <c r="BW64">
        <v>0</v>
      </c>
      <c r="BX64">
        <v>0</v>
      </c>
      <c r="BY64">
        <v>0</v>
      </c>
      <c r="BZ64">
        <v>0</v>
      </c>
      <c r="CA64">
        <v>52025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91393</v>
      </c>
      <c r="CZ64">
        <v>0</v>
      </c>
      <c r="DA64">
        <v>0</v>
      </c>
      <c r="DB64">
        <v>0</v>
      </c>
      <c r="DC64">
        <v>91393</v>
      </c>
      <c r="DD64">
        <v>0</v>
      </c>
      <c r="DE64">
        <v>0</v>
      </c>
      <c r="DF64">
        <v>0</v>
      </c>
      <c r="DG64">
        <v>0</v>
      </c>
      <c r="DH64">
        <v>91393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91393</v>
      </c>
      <c r="DV64">
        <v>0</v>
      </c>
      <c r="DW64">
        <v>0</v>
      </c>
      <c r="DX64">
        <v>0</v>
      </c>
      <c r="DY64">
        <v>91393</v>
      </c>
      <c r="DZ64">
        <v>0</v>
      </c>
      <c r="EA64">
        <v>0</v>
      </c>
      <c r="EB64">
        <v>0</v>
      </c>
      <c r="EC64">
        <v>0</v>
      </c>
      <c r="ED64">
        <v>0</v>
      </c>
    </row>
    <row r="65" spans="2:134" s="248" customFormat="1" ht="13.5">
      <c r="B65" s="248" t="s">
        <v>296</v>
      </c>
      <c r="C65" s="248">
        <f aca="true" t="shared" si="2" ref="C65:BN65">SUM(C18:C64)</f>
        <v>0</v>
      </c>
      <c r="D65" s="248">
        <f t="shared" si="2"/>
        <v>0</v>
      </c>
      <c r="E65" s="248">
        <f t="shared" si="2"/>
        <v>0</v>
      </c>
      <c r="F65" s="248">
        <f t="shared" si="2"/>
        <v>0</v>
      </c>
      <c r="G65" s="248">
        <f t="shared" si="2"/>
        <v>0</v>
      </c>
      <c r="H65" s="248">
        <f t="shared" si="2"/>
        <v>0</v>
      </c>
      <c r="I65" s="248">
        <f t="shared" si="2"/>
        <v>0</v>
      </c>
      <c r="J65" s="248">
        <f t="shared" si="2"/>
        <v>0</v>
      </c>
      <c r="K65" s="248">
        <f t="shared" si="2"/>
        <v>0</v>
      </c>
      <c r="L65" s="248">
        <f t="shared" si="2"/>
        <v>0</v>
      </c>
      <c r="M65" s="248">
        <f t="shared" si="2"/>
        <v>0</v>
      </c>
      <c r="N65" s="248">
        <f t="shared" si="2"/>
        <v>261692</v>
      </c>
      <c r="O65" s="248">
        <f t="shared" si="2"/>
        <v>2655392</v>
      </c>
      <c r="P65" s="248">
        <f t="shared" si="2"/>
        <v>23524</v>
      </c>
      <c r="Q65" s="248">
        <f t="shared" si="2"/>
        <v>0</v>
      </c>
      <c r="R65" s="248">
        <f t="shared" si="2"/>
        <v>0</v>
      </c>
      <c r="S65" s="248">
        <f t="shared" si="2"/>
        <v>2940608</v>
      </c>
      <c r="T65" s="248">
        <f t="shared" si="2"/>
        <v>2165381</v>
      </c>
      <c r="U65" s="248">
        <f t="shared" si="2"/>
        <v>789374</v>
      </c>
      <c r="V65" s="248">
        <f t="shared" si="2"/>
        <v>1163700</v>
      </c>
      <c r="W65" s="248">
        <f t="shared" si="2"/>
        <v>212307</v>
      </c>
      <c r="X65" s="248">
        <f t="shared" si="2"/>
        <v>775227</v>
      </c>
      <c r="Y65" s="248">
        <f t="shared" si="2"/>
        <v>0</v>
      </c>
      <c r="Z65" s="248">
        <f t="shared" si="2"/>
        <v>2056390</v>
      </c>
      <c r="AA65" s="248">
        <f t="shared" si="2"/>
        <v>0</v>
      </c>
      <c r="AB65" s="248">
        <f t="shared" si="2"/>
        <v>0</v>
      </c>
      <c r="AC65" s="248">
        <f t="shared" si="2"/>
        <v>0</v>
      </c>
      <c r="AD65" s="248">
        <f t="shared" si="2"/>
        <v>2056390</v>
      </c>
      <c r="AE65" s="248">
        <f t="shared" si="2"/>
        <v>1723874</v>
      </c>
      <c r="AF65" s="248">
        <f t="shared" si="2"/>
        <v>789374</v>
      </c>
      <c r="AG65" s="248">
        <f t="shared" si="2"/>
        <v>934500</v>
      </c>
      <c r="AH65" s="248">
        <f t="shared" si="2"/>
        <v>0</v>
      </c>
      <c r="AI65" s="248">
        <f t="shared" si="2"/>
        <v>332516</v>
      </c>
      <c r="AJ65" s="248">
        <f t="shared" si="2"/>
        <v>261692</v>
      </c>
      <c r="AK65" s="248">
        <f t="shared" si="2"/>
        <v>599002</v>
      </c>
      <c r="AL65" s="248">
        <f t="shared" si="2"/>
        <v>23524</v>
      </c>
      <c r="AM65" s="248">
        <f t="shared" si="2"/>
        <v>0</v>
      </c>
      <c r="AN65" s="248">
        <f t="shared" si="2"/>
        <v>0</v>
      </c>
      <c r="AO65" s="248">
        <f t="shared" si="2"/>
        <v>884218</v>
      </c>
      <c r="AP65" s="248">
        <f t="shared" si="2"/>
        <v>441507</v>
      </c>
      <c r="AQ65" s="248">
        <f t="shared" si="2"/>
        <v>0</v>
      </c>
      <c r="AR65" s="248">
        <f t="shared" si="2"/>
        <v>229200</v>
      </c>
      <c r="AS65" s="248">
        <f t="shared" si="2"/>
        <v>212307</v>
      </c>
      <c r="AT65" s="248">
        <f t="shared" si="2"/>
        <v>442711</v>
      </c>
      <c r="AU65" s="248">
        <f t="shared" si="2"/>
        <v>0</v>
      </c>
      <c r="AV65" s="248">
        <f t="shared" si="2"/>
        <v>0</v>
      </c>
      <c r="AW65" s="248">
        <f t="shared" si="2"/>
        <v>0</v>
      </c>
      <c r="AX65" s="248">
        <f t="shared" si="2"/>
        <v>0</v>
      </c>
      <c r="AY65" s="248">
        <f t="shared" si="2"/>
        <v>0</v>
      </c>
      <c r="AZ65" s="248">
        <f t="shared" si="2"/>
        <v>0</v>
      </c>
      <c r="BA65" s="248">
        <f t="shared" si="2"/>
        <v>0</v>
      </c>
      <c r="BB65" s="248">
        <f t="shared" si="2"/>
        <v>0</v>
      </c>
      <c r="BC65" s="248">
        <f t="shared" si="2"/>
        <v>0</v>
      </c>
      <c r="BD65" s="248">
        <f t="shared" si="2"/>
        <v>0</v>
      </c>
      <c r="BE65" s="248">
        <f t="shared" si="2"/>
        <v>0</v>
      </c>
      <c r="BF65" s="248">
        <f t="shared" si="2"/>
        <v>0</v>
      </c>
      <c r="BG65" s="248">
        <f t="shared" si="2"/>
        <v>298221</v>
      </c>
      <c r="BH65" s="248">
        <f t="shared" si="2"/>
        <v>0</v>
      </c>
      <c r="BI65" s="248">
        <f t="shared" si="2"/>
        <v>0</v>
      </c>
      <c r="BJ65" s="248">
        <f t="shared" si="2"/>
        <v>0</v>
      </c>
      <c r="BK65" s="248">
        <f t="shared" si="2"/>
        <v>298221</v>
      </c>
      <c r="BL65" s="248">
        <f t="shared" si="2"/>
        <v>222276</v>
      </c>
      <c r="BM65" s="248">
        <f t="shared" si="2"/>
        <v>105121</v>
      </c>
      <c r="BN65" s="248">
        <f t="shared" si="2"/>
        <v>51500</v>
      </c>
      <c r="BO65" s="248">
        <f aca="true" t="shared" si="3" ref="BO65:DZ65">SUM(BO18:BO64)</f>
        <v>65655</v>
      </c>
      <c r="BP65" s="248">
        <f t="shared" si="3"/>
        <v>75945</v>
      </c>
      <c r="BQ65" s="248">
        <f t="shared" si="3"/>
        <v>0</v>
      </c>
      <c r="BR65" s="248">
        <f t="shared" si="3"/>
        <v>291786</v>
      </c>
      <c r="BS65" s="248">
        <f t="shared" si="3"/>
        <v>0</v>
      </c>
      <c r="BT65" s="248">
        <f t="shared" si="3"/>
        <v>0</v>
      </c>
      <c r="BU65" s="248">
        <f t="shared" si="3"/>
        <v>0</v>
      </c>
      <c r="BV65" s="248">
        <f t="shared" si="3"/>
        <v>291786</v>
      </c>
      <c r="BW65" s="248">
        <f t="shared" si="3"/>
        <v>220920</v>
      </c>
      <c r="BX65" s="248">
        <f t="shared" si="3"/>
        <v>105121</v>
      </c>
      <c r="BY65" s="248">
        <f t="shared" si="3"/>
        <v>51500</v>
      </c>
      <c r="BZ65" s="248">
        <f t="shared" si="3"/>
        <v>64299</v>
      </c>
      <c r="CA65" s="248">
        <f t="shared" si="3"/>
        <v>70866</v>
      </c>
      <c r="CB65" s="248">
        <f t="shared" si="3"/>
        <v>0</v>
      </c>
      <c r="CC65" s="248">
        <f t="shared" si="3"/>
        <v>6435</v>
      </c>
      <c r="CD65" s="248">
        <f t="shared" si="3"/>
        <v>0</v>
      </c>
      <c r="CE65" s="248">
        <f t="shared" si="3"/>
        <v>0</v>
      </c>
      <c r="CF65" s="248">
        <f t="shared" si="3"/>
        <v>0</v>
      </c>
      <c r="CG65" s="248">
        <f t="shared" si="3"/>
        <v>6435</v>
      </c>
      <c r="CH65" s="248">
        <f t="shared" si="3"/>
        <v>1356</v>
      </c>
      <c r="CI65" s="248">
        <f t="shared" si="3"/>
        <v>0</v>
      </c>
      <c r="CJ65" s="248">
        <f t="shared" si="3"/>
        <v>0</v>
      </c>
      <c r="CK65" s="248">
        <f t="shared" si="3"/>
        <v>1356</v>
      </c>
      <c r="CL65" s="248">
        <f t="shared" si="3"/>
        <v>5079</v>
      </c>
      <c r="CM65" s="248">
        <f t="shared" si="3"/>
        <v>0</v>
      </c>
      <c r="CN65" s="248">
        <f t="shared" si="3"/>
        <v>18573</v>
      </c>
      <c r="CO65" s="248">
        <f t="shared" si="3"/>
        <v>7333</v>
      </c>
      <c r="CP65" s="248">
        <f t="shared" si="3"/>
        <v>0</v>
      </c>
      <c r="CQ65" s="248">
        <f t="shared" si="3"/>
        <v>0</v>
      </c>
      <c r="CR65" s="248">
        <f t="shared" si="3"/>
        <v>25906</v>
      </c>
      <c r="CS65" s="248">
        <f t="shared" si="3"/>
        <v>0</v>
      </c>
      <c r="CT65" s="248">
        <f t="shared" si="3"/>
        <v>0</v>
      </c>
      <c r="CU65" s="248">
        <f t="shared" si="3"/>
        <v>0</v>
      </c>
      <c r="CV65" s="248">
        <f t="shared" si="3"/>
        <v>0</v>
      </c>
      <c r="CW65" s="248">
        <f t="shared" si="3"/>
        <v>25906</v>
      </c>
      <c r="CX65" s="248">
        <f t="shared" si="3"/>
        <v>261692</v>
      </c>
      <c r="CY65" s="248">
        <f t="shared" si="3"/>
        <v>2972186</v>
      </c>
      <c r="CZ65" s="248">
        <f t="shared" si="3"/>
        <v>30857</v>
      </c>
      <c r="DA65" s="248">
        <f t="shared" si="3"/>
        <v>0</v>
      </c>
      <c r="DB65" s="248">
        <f t="shared" si="3"/>
        <v>0</v>
      </c>
      <c r="DC65" s="248">
        <f t="shared" si="3"/>
        <v>3264735</v>
      </c>
      <c r="DD65" s="248">
        <f t="shared" si="3"/>
        <v>2387657</v>
      </c>
      <c r="DE65" s="248">
        <f t="shared" si="3"/>
        <v>894495</v>
      </c>
      <c r="DF65" s="248">
        <f t="shared" si="3"/>
        <v>1215200</v>
      </c>
      <c r="DG65" s="248">
        <f t="shared" si="3"/>
        <v>277962</v>
      </c>
      <c r="DH65" s="248">
        <f t="shared" si="3"/>
        <v>877078</v>
      </c>
      <c r="DI65" s="248">
        <f t="shared" si="3"/>
        <v>54906</v>
      </c>
      <c r="DJ65" s="248">
        <f t="shared" si="3"/>
        <v>2309712</v>
      </c>
      <c r="DK65" s="248">
        <f t="shared" si="3"/>
        <v>23039</v>
      </c>
      <c r="DL65" s="248">
        <f t="shared" si="3"/>
        <v>0</v>
      </c>
      <c r="DM65" s="248">
        <f t="shared" si="3"/>
        <v>0</v>
      </c>
      <c r="DN65" s="248">
        <f t="shared" si="3"/>
        <v>2387657</v>
      </c>
      <c r="DO65" s="248">
        <f t="shared" si="3"/>
        <v>0</v>
      </c>
      <c r="DP65" s="248">
        <f t="shared" si="3"/>
        <v>0</v>
      </c>
      <c r="DQ65" s="248">
        <f t="shared" si="3"/>
        <v>0</v>
      </c>
      <c r="DR65" s="248">
        <f t="shared" si="3"/>
        <v>0</v>
      </c>
      <c r="DS65" s="248">
        <f t="shared" si="3"/>
        <v>0</v>
      </c>
      <c r="DT65" s="248">
        <f t="shared" si="3"/>
        <v>206786</v>
      </c>
      <c r="DU65" s="248">
        <f t="shared" si="3"/>
        <v>662474</v>
      </c>
      <c r="DV65" s="248">
        <f t="shared" si="3"/>
        <v>7818</v>
      </c>
      <c r="DW65" s="248">
        <f t="shared" si="3"/>
        <v>0</v>
      </c>
      <c r="DX65" s="248">
        <f t="shared" si="3"/>
        <v>0</v>
      </c>
      <c r="DY65" s="248">
        <f t="shared" si="3"/>
        <v>877078</v>
      </c>
      <c r="DZ65" s="248">
        <f t="shared" si="3"/>
        <v>0</v>
      </c>
      <c r="EA65" s="248">
        <f>SUM(EA18:EA64)</f>
        <v>0</v>
      </c>
      <c r="EB65" s="248">
        <f>SUM(EB18:EB64)</f>
        <v>0</v>
      </c>
      <c r="EC65" s="248">
        <f>SUM(EC18:EC64)</f>
        <v>0</v>
      </c>
      <c r="ED65" s="248">
        <f>SUM(ED18:ED64)</f>
        <v>0</v>
      </c>
    </row>
    <row r="66" spans="2:134" s="248" customFormat="1" ht="13.5">
      <c r="B66" s="248" t="s">
        <v>267</v>
      </c>
      <c r="C66" s="248">
        <f aca="true" t="shared" si="4" ref="C66:BN66">SUM(C17:C64)</f>
        <v>0</v>
      </c>
      <c r="D66" s="248">
        <f t="shared" si="4"/>
        <v>0</v>
      </c>
      <c r="E66" s="248">
        <f t="shared" si="4"/>
        <v>0</v>
      </c>
      <c r="F66" s="248">
        <f t="shared" si="4"/>
        <v>0</v>
      </c>
      <c r="G66" s="248">
        <f t="shared" si="4"/>
        <v>0</v>
      </c>
      <c r="H66" s="248">
        <f t="shared" si="4"/>
        <v>0</v>
      </c>
      <c r="I66" s="248">
        <f t="shared" si="4"/>
        <v>0</v>
      </c>
      <c r="J66" s="248">
        <f t="shared" si="4"/>
        <v>0</v>
      </c>
      <c r="K66" s="248">
        <f t="shared" si="4"/>
        <v>0</v>
      </c>
      <c r="L66" s="248">
        <f t="shared" si="4"/>
        <v>0</v>
      </c>
      <c r="M66" s="248">
        <f t="shared" si="4"/>
        <v>0</v>
      </c>
      <c r="N66" s="248">
        <f t="shared" si="4"/>
        <v>1865449</v>
      </c>
      <c r="O66" s="248">
        <f t="shared" si="4"/>
        <v>10373775</v>
      </c>
      <c r="P66" s="248">
        <f t="shared" si="4"/>
        <v>39862</v>
      </c>
      <c r="Q66" s="248">
        <f t="shared" si="4"/>
        <v>0</v>
      </c>
      <c r="R66" s="248">
        <f t="shared" si="4"/>
        <v>0</v>
      </c>
      <c r="S66" s="248">
        <f t="shared" si="4"/>
        <v>12279086</v>
      </c>
      <c r="T66" s="248">
        <f t="shared" si="4"/>
        <v>9649469</v>
      </c>
      <c r="U66" s="248">
        <f t="shared" si="4"/>
        <v>3057531</v>
      </c>
      <c r="V66" s="248">
        <f t="shared" si="4"/>
        <v>4910500</v>
      </c>
      <c r="W66" s="248">
        <f t="shared" si="4"/>
        <v>1681438</v>
      </c>
      <c r="X66" s="248">
        <f t="shared" si="4"/>
        <v>2629617</v>
      </c>
      <c r="Y66" s="248">
        <f t="shared" si="4"/>
        <v>553788</v>
      </c>
      <c r="Z66" s="248">
        <f t="shared" si="4"/>
        <v>6732926</v>
      </c>
      <c r="AA66" s="248">
        <f t="shared" si="4"/>
        <v>0</v>
      </c>
      <c r="AB66" s="248">
        <f t="shared" si="4"/>
        <v>0</v>
      </c>
      <c r="AC66" s="248">
        <f t="shared" si="4"/>
        <v>0</v>
      </c>
      <c r="AD66" s="248">
        <f t="shared" si="4"/>
        <v>7286714</v>
      </c>
      <c r="AE66" s="248">
        <f t="shared" si="4"/>
        <v>6181663</v>
      </c>
      <c r="AF66" s="248">
        <f t="shared" si="4"/>
        <v>3057531</v>
      </c>
      <c r="AG66" s="248">
        <f t="shared" si="4"/>
        <v>2877900</v>
      </c>
      <c r="AH66" s="248">
        <f t="shared" si="4"/>
        <v>246232</v>
      </c>
      <c r="AI66" s="248">
        <f t="shared" si="4"/>
        <v>1105051</v>
      </c>
      <c r="AJ66" s="248">
        <f t="shared" si="4"/>
        <v>1311661</v>
      </c>
      <c r="AK66" s="248">
        <f t="shared" si="4"/>
        <v>3589104</v>
      </c>
      <c r="AL66" s="248">
        <f t="shared" si="4"/>
        <v>39862</v>
      </c>
      <c r="AM66" s="248">
        <f t="shared" si="4"/>
        <v>0</v>
      </c>
      <c r="AN66" s="248">
        <f t="shared" si="4"/>
        <v>0</v>
      </c>
      <c r="AO66" s="248">
        <f t="shared" si="4"/>
        <v>4940627</v>
      </c>
      <c r="AP66" s="248">
        <f t="shared" si="4"/>
        <v>3417581</v>
      </c>
      <c r="AQ66" s="248">
        <f t="shared" si="4"/>
        <v>0</v>
      </c>
      <c r="AR66" s="248">
        <f t="shared" si="4"/>
        <v>2004500</v>
      </c>
      <c r="AS66" s="248">
        <f t="shared" si="4"/>
        <v>1413081</v>
      </c>
      <c r="AT66" s="248">
        <f t="shared" si="4"/>
        <v>1523046</v>
      </c>
      <c r="AU66" s="248">
        <f t="shared" si="4"/>
        <v>0</v>
      </c>
      <c r="AV66" s="248">
        <f t="shared" si="4"/>
        <v>51745</v>
      </c>
      <c r="AW66" s="248">
        <f t="shared" si="4"/>
        <v>0</v>
      </c>
      <c r="AX66" s="248">
        <f t="shared" si="4"/>
        <v>0</v>
      </c>
      <c r="AY66" s="248">
        <f t="shared" si="4"/>
        <v>0</v>
      </c>
      <c r="AZ66" s="248">
        <f t="shared" si="4"/>
        <v>51745</v>
      </c>
      <c r="BA66" s="248">
        <f t="shared" si="4"/>
        <v>50225</v>
      </c>
      <c r="BB66" s="248">
        <f t="shared" si="4"/>
        <v>0</v>
      </c>
      <c r="BC66" s="248">
        <f t="shared" si="4"/>
        <v>28100</v>
      </c>
      <c r="BD66" s="248">
        <f t="shared" si="4"/>
        <v>22125</v>
      </c>
      <c r="BE66" s="248">
        <f t="shared" si="4"/>
        <v>1520</v>
      </c>
      <c r="BF66" s="248">
        <f t="shared" si="4"/>
        <v>0</v>
      </c>
      <c r="BG66" s="248">
        <f t="shared" si="4"/>
        <v>510322</v>
      </c>
      <c r="BH66" s="248">
        <f t="shared" si="4"/>
        <v>0</v>
      </c>
      <c r="BI66" s="248">
        <f t="shared" si="4"/>
        <v>0</v>
      </c>
      <c r="BJ66" s="248">
        <f t="shared" si="4"/>
        <v>0</v>
      </c>
      <c r="BK66" s="248">
        <f t="shared" si="4"/>
        <v>510322</v>
      </c>
      <c r="BL66" s="248">
        <f t="shared" si="4"/>
        <v>370955</v>
      </c>
      <c r="BM66" s="248">
        <f t="shared" si="4"/>
        <v>193027</v>
      </c>
      <c r="BN66" s="248">
        <f t="shared" si="4"/>
        <v>89600</v>
      </c>
      <c r="BO66" s="248">
        <f aca="true" t="shared" si="5" ref="BO66:DZ66">SUM(BO17:BO64)</f>
        <v>88328</v>
      </c>
      <c r="BP66" s="248">
        <f t="shared" si="5"/>
        <v>139367</v>
      </c>
      <c r="BQ66" s="248">
        <f t="shared" si="5"/>
        <v>0</v>
      </c>
      <c r="BR66" s="248">
        <f t="shared" si="5"/>
        <v>413585</v>
      </c>
      <c r="BS66" s="248">
        <f t="shared" si="5"/>
        <v>0</v>
      </c>
      <c r="BT66" s="248">
        <f t="shared" si="5"/>
        <v>0</v>
      </c>
      <c r="BU66" s="248">
        <f t="shared" si="5"/>
        <v>0</v>
      </c>
      <c r="BV66" s="248">
        <f t="shared" si="5"/>
        <v>413585</v>
      </c>
      <c r="BW66" s="248">
        <f t="shared" si="5"/>
        <v>340763</v>
      </c>
      <c r="BX66" s="248">
        <f t="shared" si="5"/>
        <v>193027</v>
      </c>
      <c r="BY66" s="248">
        <f t="shared" si="5"/>
        <v>82600</v>
      </c>
      <c r="BZ66" s="248">
        <f t="shared" si="5"/>
        <v>65136</v>
      </c>
      <c r="CA66" s="248">
        <f t="shared" si="5"/>
        <v>72822</v>
      </c>
      <c r="CB66" s="248">
        <f t="shared" si="5"/>
        <v>0</v>
      </c>
      <c r="CC66" s="248">
        <f t="shared" si="5"/>
        <v>96737</v>
      </c>
      <c r="CD66" s="248">
        <f t="shared" si="5"/>
        <v>0</v>
      </c>
      <c r="CE66" s="248">
        <f t="shared" si="5"/>
        <v>0</v>
      </c>
      <c r="CF66" s="248">
        <f t="shared" si="5"/>
        <v>0</v>
      </c>
      <c r="CG66" s="248">
        <f t="shared" si="5"/>
        <v>96737</v>
      </c>
      <c r="CH66" s="248">
        <f t="shared" si="5"/>
        <v>30192</v>
      </c>
      <c r="CI66" s="248">
        <f t="shared" si="5"/>
        <v>0</v>
      </c>
      <c r="CJ66" s="248">
        <f t="shared" si="5"/>
        <v>7000</v>
      </c>
      <c r="CK66" s="248">
        <f t="shared" si="5"/>
        <v>23192</v>
      </c>
      <c r="CL66" s="248">
        <f t="shared" si="5"/>
        <v>66545</v>
      </c>
      <c r="CM66" s="248">
        <f t="shared" si="5"/>
        <v>4</v>
      </c>
      <c r="CN66" s="248">
        <f t="shared" si="5"/>
        <v>30246</v>
      </c>
      <c r="CO66" s="248">
        <f t="shared" si="5"/>
        <v>7333</v>
      </c>
      <c r="CP66" s="248">
        <f t="shared" si="5"/>
        <v>14438</v>
      </c>
      <c r="CQ66" s="248">
        <f t="shared" si="5"/>
        <v>0</v>
      </c>
      <c r="CR66" s="248">
        <f t="shared" si="5"/>
        <v>52021</v>
      </c>
      <c r="CS66" s="248">
        <f t="shared" si="5"/>
        <v>221</v>
      </c>
      <c r="CT66" s="248">
        <f t="shared" si="5"/>
        <v>0</v>
      </c>
      <c r="CU66" s="248">
        <f t="shared" si="5"/>
        <v>0</v>
      </c>
      <c r="CV66" s="248">
        <f t="shared" si="5"/>
        <v>221</v>
      </c>
      <c r="CW66" s="248">
        <f t="shared" si="5"/>
        <v>51800</v>
      </c>
      <c r="CX66" s="248">
        <f t="shared" si="5"/>
        <v>1865453</v>
      </c>
      <c r="CY66" s="248">
        <f t="shared" si="5"/>
        <v>10914343</v>
      </c>
      <c r="CZ66" s="248">
        <f t="shared" si="5"/>
        <v>47195</v>
      </c>
      <c r="DA66" s="248">
        <f t="shared" si="5"/>
        <v>14438</v>
      </c>
      <c r="DB66" s="248">
        <f t="shared" si="5"/>
        <v>0</v>
      </c>
      <c r="DC66" s="248">
        <f t="shared" si="5"/>
        <v>12841429</v>
      </c>
      <c r="DD66" s="248">
        <f t="shared" si="5"/>
        <v>10020645</v>
      </c>
      <c r="DE66" s="248">
        <f t="shared" si="5"/>
        <v>3250558</v>
      </c>
      <c r="DF66" s="248">
        <f t="shared" si="5"/>
        <v>5000100</v>
      </c>
      <c r="DG66" s="248">
        <f t="shared" si="5"/>
        <v>1769987</v>
      </c>
      <c r="DH66" s="248">
        <f t="shared" si="5"/>
        <v>2820784</v>
      </c>
      <c r="DI66" s="248">
        <f t="shared" si="5"/>
        <v>1370760</v>
      </c>
      <c r="DJ66" s="248">
        <f t="shared" si="5"/>
        <v>8620125</v>
      </c>
      <c r="DK66" s="248">
        <f t="shared" si="5"/>
        <v>29539</v>
      </c>
      <c r="DL66" s="248">
        <f t="shared" si="5"/>
        <v>221</v>
      </c>
      <c r="DM66" s="248">
        <f t="shared" si="5"/>
        <v>0</v>
      </c>
      <c r="DN66" s="248">
        <f t="shared" si="5"/>
        <v>10020645</v>
      </c>
      <c r="DO66" s="248">
        <f t="shared" si="5"/>
        <v>0</v>
      </c>
      <c r="DP66" s="248">
        <f t="shared" si="5"/>
        <v>0</v>
      </c>
      <c r="DQ66" s="248">
        <f t="shared" si="5"/>
        <v>0</v>
      </c>
      <c r="DR66" s="248">
        <f t="shared" si="5"/>
        <v>0</v>
      </c>
      <c r="DS66" s="248">
        <f t="shared" si="5"/>
        <v>0</v>
      </c>
      <c r="DT66" s="248">
        <f t="shared" si="5"/>
        <v>494693</v>
      </c>
      <c r="DU66" s="248">
        <f t="shared" si="5"/>
        <v>2294218</v>
      </c>
      <c r="DV66" s="248">
        <f t="shared" si="5"/>
        <v>17656</v>
      </c>
      <c r="DW66" s="248">
        <f t="shared" si="5"/>
        <v>14217</v>
      </c>
      <c r="DX66" s="248">
        <f t="shared" si="5"/>
        <v>0</v>
      </c>
      <c r="DY66" s="248">
        <f t="shared" si="5"/>
        <v>2820784</v>
      </c>
      <c r="DZ66" s="248">
        <f t="shared" si="5"/>
        <v>0</v>
      </c>
      <c r="EA66" s="248">
        <f>SUM(EA17:EA64)</f>
        <v>0</v>
      </c>
      <c r="EB66" s="248">
        <f>SUM(EB17:EB64)</f>
        <v>0</v>
      </c>
      <c r="EC66" s="248">
        <f>SUM(EC17:EC64)</f>
        <v>0</v>
      </c>
      <c r="ED66" s="248">
        <f>SUM(ED17:ED64)</f>
        <v>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G62"/>
  <sheetViews>
    <sheetView zoomScale="85" zoomScaleNormal="85" workbookViewId="0" topLeftCell="A13">
      <selection activeCell="A1" sqref="A1"/>
    </sheetView>
  </sheetViews>
  <sheetFormatPr defaultColWidth="9.00390625" defaultRowHeight="13.5"/>
  <cols>
    <col min="1" max="1" width="11.625" style="272" bestFit="1" customWidth="1"/>
    <col min="2" max="2" width="12.00390625" style="0" customWidth="1"/>
    <col min="4" max="5" width="11.625" style="0" customWidth="1"/>
  </cols>
  <sheetData>
    <row r="1" spans="1:5" ht="13.5">
      <c r="A1" s="628" t="s">
        <v>475</v>
      </c>
      <c r="B1" s="628"/>
      <c r="C1" s="325"/>
      <c r="D1" s="325"/>
      <c r="E1" t="s">
        <v>358</v>
      </c>
    </row>
    <row r="2" spans="2:4" ht="13.5">
      <c r="B2" s="272"/>
      <c r="C2" s="274"/>
      <c r="D2" s="274"/>
    </row>
    <row r="3" spans="1:5" ht="13.5">
      <c r="A3" s="629" t="s">
        <v>359</v>
      </c>
      <c r="B3" s="629"/>
      <c r="D3" s="629" t="s">
        <v>460</v>
      </c>
      <c r="E3" s="629"/>
    </row>
    <row r="4" spans="1:4" ht="13.5">
      <c r="A4" s="272" t="s">
        <v>355</v>
      </c>
      <c r="B4" s="272" t="s">
        <v>356</v>
      </c>
      <c r="D4" s="272" t="s">
        <v>355</v>
      </c>
    </row>
    <row r="5" spans="1:5" ht="13.5">
      <c r="A5" s="324">
        <v>1</v>
      </c>
      <c r="B5" s="325">
        <v>54568187</v>
      </c>
      <c r="D5" s="326">
        <v>1</v>
      </c>
      <c r="E5" s="325">
        <v>50287831</v>
      </c>
    </row>
    <row r="6" spans="1:5" ht="13.5">
      <c r="A6" s="324">
        <v>2</v>
      </c>
      <c r="B6" s="325">
        <v>24660753</v>
      </c>
      <c r="D6" s="326">
        <v>2</v>
      </c>
      <c r="E6" s="325">
        <v>22976793</v>
      </c>
    </row>
    <row r="7" spans="1:5" ht="13.5">
      <c r="A7" s="324">
        <v>3</v>
      </c>
      <c r="B7" s="325">
        <v>37162754</v>
      </c>
      <c r="D7" s="326">
        <v>3</v>
      </c>
      <c r="E7" s="325">
        <v>34639827</v>
      </c>
    </row>
    <row r="8" spans="1:5" ht="13.5">
      <c r="A8" s="324">
        <v>4</v>
      </c>
      <c r="B8" s="325">
        <v>6870143</v>
      </c>
      <c r="D8" s="326">
        <v>4</v>
      </c>
      <c r="E8" s="325">
        <v>6380300</v>
      </c>
    </row>
    <row r="9" spans="1:5" ht="13.5">
      <c r="A9" s="324">
        <v>7</v>
      </c>
      <c r="B9" s="325">
        <v>109476943</v>
      </c>
      <c r="D9" s="326">
        <v>7</v>
      </c>
      <c r="E9" s="325">
        <v>106761357</v>
      </c>
    </row>
    <row r="10" spans="1:5" ht="13.5">
      <c r="A10" s="324">
        <v>8</v>
      </c>
      <c r="B10" s="325">
        <v>80453787</v>
      </c>
      <c r="D10" s="326">
        <v>8</v>
      </c>
      <c r="E10" s="325">
        <v>74011814</v>
      </c>
    </row>
    <row r="11" spans="1:5" ht="13.5">
      <c r="A11" s="324">
        <v>9</v>
      </c>
      <c r="B11" s="325">
        <v>1325740</v>
      </c>
      <c r="D11" s="326">
        <v>9</v>
      </c>
      <c r="E11" s="325">
        <v>1300031</v>
      </c>
    </row>
    <row r="12" spans="1:5" ht="13.5">
      <c r="A12" s="324">
        <v>10</v>
      </c>
      <c r="B12" s="325">
        <v>24999016</v>
      </c>
      <c r="D12" s="326">
        <v>10</v>
      </c>
      <c r="E12" s="325">
        <v>24242720</v>
      </c>
    </row>
    <row r="13" spans="1:5" ht="13.5">
      <c r="A13" s="324">
        <v>11</v>
      </c>
      <c r="B13" s="325">
        <v>2566400</v>
      </c>
      <c r="D13" s="326">
        <v>11</v>
      </c>
      <c r="E13" s="325">
        <v>6905992</v>
      </c>
    </row>
    <row r="14" spans="1:5" ht="13.5">
      <c r="A14" s="324">
        <v>13</v>
      </c>
      <c r="B14" s="325">
        <v>132000</v>
      </c>
      <c r="D14" s="326">
        <v>13</v>
      </c>
      <c r="E14" s="325">
        <v>300800</v>
      </c>
    </row>
    <row r="15" spans="1:5" ht="13.5">
      <c r="A15" s="324">
        <v>14</v>
      </c>
      <c r="B15" s="325">
        <v>283131719</v>
      </c>
      <c r="D15" s="326">
        <v>14</v>
      </c>
      <c r="E15" s="325">
        <v>270365905</v>
      </c>
    </row>
    <row r="16" spans="1:5" ht="13.5">
      <c r="A16" s="324">
        <v>15</v>
      </c>
      <c r="B16" s="325">
        <v>33042283</v>
      </c>
      <c r="D16" s="326">
        <v>15</v>
      </c>
      <c r="E16" s="325">
        <v>23569957</v>
      </c>
    </row>
    <row r="17" spans="1:5" ht="13.5">
      <c r="A17" s="324">
        <v>19</v>
      </c>
      <c r="B17" s="325">
        <v>11233100</v>
      </c>
      <c r="D17" s="326">
        <v>19</v>
      </c>
      <c r="E17" s="325">
        <v>22264365</v>
      </c>
    </row>
    <row r="18" spans="1:5" ht="13.5">
      <c r="A18" s="324">
        <v>25</v>
      </c>
      <c r="B18" s="325">
        <v>9344646</v>
      </c>
      <c r="D18" s="326">
        <v>25</v>
      </c>
      <c r="E18" s="325">
        <v>9732467</v>
      </c>
    </row>
    <row r="19" spans="1:5" ht="13.5">
      <c r="A19" s="324">
        <v>28</v>
      </c>
      <c r="B19" s="325">
        <v>6004370</v>
      </c>
      <c r="D19" s="326">
        <v>28</v>
      </c>
      <c r="E19" s="325">
        <v>5824354</v>
      </c>
    </row>
    <row r="20" spans="1:5" ht="13.5">
      <c r="A20" s="324">
        <v>29</v>
      </c>
      <c r="B20" s="325">
        <v>44766797</v>
      </c>
      <c r="D20" s="326">
        <v>29</v>
      </c>
      <c r="E20" s="325">
        <v>41550755</v>
      </c>
    </row>
    <row r="21" spans="1:5" ht="13.5">
      <c r="A21" s="324">
        <v>30</v>
      </c>
      <c r="B21" s="325">
        <v>785300</v>
      </c>
      <c r="D21" s="326">
        <v>30</v>
      </c>
      <c r="E21" s="325">
        <v>619793</v>
      </c>
    </row>
    <row r="22" spans="1:5" ht="13.5">
      <c r="A22" s="324">
        <v>31</v>
      </c>
      <c r="B22" s="325">
        <v>1320600</v>
      </c>
      <c r="D22" s="326">
        <v>31</v>
      </c>
      <c r="E22" s="325">
        <v>2213600</v>
      </c>
    </row>
    <row r="23" spans="1:5" ht="13.5">
      <c r="A23" s="324">
        <v>32</v>
      </c>
      <c r="B23" s="325">
        <v>7410397</v>
      </c>
      <c r="D23" s="326">
        <v>32</v>
      </c>
      <c r="E23" s="325">
        <v>6250579</v>
      </c>
    </row>
    <row r="24" spans="1:5" ht="13.5">
      <c r="A24" s="324">
        <v>33</v>
      </c>
      <c r="B24" s="325">
        <v>0</v>
      </c>
      <c r="D24" s="326">
        <v>33</v>
      </c>
      <c r="E24" s="325">
        <v>0</v>
      </c>
    </row>
    <row r="25" spans="1:5" ht="13.5">
      <c r="A25" s="324">
        <v>34</v>
      </c>
      <c r="B25" s="325">
        <v>0</v>
      </c>
      <c r="D25" s="326">
        <v>34</v>
      </c>
      <c r="E25" s="325">
        <v>0</v>
      </c>
    </row>
    <row r="26" spans="1:5" ht="13.5">
      <c r="A26" s="324">
        <v>35</v>
      </c>
      <c r="B26" s="325">
        <v>158300</v>
      </c>
      <c r="D26" s="326">
        <v>35</v>
      </c>
      <c r="E26" s="325">
        <v>2987000</v>
      </c>
    </row>
    <row r="27" spans="1:5" ht="13.5">
      <c r="A27" s="324">
        <v>36</v>
      </c>
      <c r="B27" s="325">
        <v>1177207</v>
      </c>
      <c r="D27" s="326">
        <v>36</v>
      </c>
      <c r="E27" s="325">
        <v>1122073</v>
      </c>
    </row>
    <row r="28" spans="1:5" ht="13.5">
      <c r="A28" s="324">
        <v>38</v>
      </c>
      <c r="B28" s="325">
        <v>0</v>
      </c>
      <c r="D28" s="326">
        <v>38</v>
      </c>
      <c r="E28" s="325">
        <v>0</v>
      </c>
    </row>
    <row r="29" spans="1:5" ht="13.5">
      <c r="A29" s="324">
        <v>41</v>
      </c>
      <c r="B29" s="325">
        <v>0</v>
      </c>
      <c r="D29" s="326">
        <v>41</v>
      </c>
      <c r="E29" s="325">
        <v>0</v>
      </c>
    </row>
    <row r="30" spans="1:5" ht="13.5">
      <c r="A30" s="324">
        <v>42</v>
      </c>
      <c r="B30" s="325">
        <v>33718913</v>
      </c>
      <c r="D30" s="326">
        <v>42</v>
      </c>
      <c r="E30" s="325">
        <v>32616546</v>
      </c>
    </row>
    <row r="31" spans="1:5" ht="13.5">
      <c r="A31" s="324">
        <v>43</v>
      </c>
      <c r="B31" s="325">
        <v>1617519</v>
      </c>
      <c r="D31" s="326">
        <v>43</v>
      </c>
      <c r="E31" s="325">
        <v>1537132</v>
      </c>
    </row>
    <row r="32" spans="1:5" ht="13.5">
      <c r="A32" s="324">
        <v>44</v>
      </c>
      <c r="B32" s="325">
        <v>3434704</v>
      </c>
      <c r="D32" s="326">
        <v>44</v>
      </c>
      <c r="E32" s="325">
        <v>2742146</v>
      </c>
    </row>
    <row r="33" spans="1:5" ht="13.5">
      <c r="A33" s="324">
        <v>45</v>
      </c>
      <c r="B33" s="325">
        <v>0</v>
      </c>
      <c r="D33" s="326">
        <v>45</v>
      </c>
      <c r="E33" s="325">
        <v>0</v>
      </c>
    </row>
    <row r="34" spans="1:5" ht="13.5">
      <c r="A34" s="324">
        <v>46</v>
      </c>
      <c r="B34" s="325">
        <v>52825689</v>
      </c>
      <c r="D34" s="326">
        <v>46</v>
      </c>
      <c r="E34" s="325">
        <v>48442743</v>
      </c>
    </row>
    <row r="35" spans="1:5" ht="13.5">
      <c r="A35" s="324">
        <v>47</v>
      </c>
      <c r="B35" s="325">
        <v>6812678</v>
      </c>
      <c r="D35" s="326">
        <v>47</v>
      </c>
      <c r="E35" s="325">
        <v>6223495</v>
      </c>
    </row>
    <row r="36" spans="1:5" ht="13.5">
      <c r="A36" s="324">
        <v>48</v>
      </c>
      <c r="B36" s="325">
        <v>165230104</v>
      </c>
      <c r="D36" s="326">
        <v>48</v>
      </c>
      <c r="E36" s="325">
        <v>181047927</v>
      </c>
    </row>
    <row r="37" spans="1:5" ht="13.5">
      <c r="A37" s="324">
        <v>49</v>
      </c>
      <c r="B37" s="325">
        <v>1186570</v>
      </c>
      <c r="D37" s="326">
        <v>49</v>
      </c>
      <c r="E37" s="325">
        <v>922524</v>
      </c>
    </row>
    <row r="38" spans="1:5" ht="13.5">
      <c r="A38" s="324">
        <v>50</v>
      </c>
      <c r="B38" s="325">
        <v>934661</v>
      </c>
      <c r="D38" s="326">
        <v>50</v>
      </c>
      <c r="E38" s="325">
        <v>856387</v>
      </c>
    </row>
    <row r="39" spans="1:5" ht="13.5">
      <c r="A39" s="324">
        <v>51</v>
      </c>
      <c r="B39" s="325">
        <v>21302425</v>
      </c>
      <c r="D39" s="326">
        <v>51</v>
      </c>
      <c r="E39" s="325">
        <v>22633001</v>
      </c>
    </row>
    <row r="40" spans="1:5" ht="13.5">
      <c r="A40" s="324">
        <v>53</v>
      </c>
      <c r="B40" s="325">
        <v>61351778</v>
      </c>
      <c r="D40" s="326">
        <v>53</v>
      </c>
      <c r="E40" s="325">
        <v>59333213</v>
      </c>
    </row>
    <row r="41" spans="1:5" ht="13.5">
      <c r="A41" s="273">
        <v>57</v>
      </c>
      <c r="B41">
        <v>901247758</v>
      </c>
      <c r="D41" s="275">
        <v>57</v>
      </c>
      <c r="E41">
        <v>885358488</v>
      </c>
    </row>
    <row r="43" spans="1:7" ht="13.5">
      <c r="A43" s="630" t="s">
        <v>476</v>
      </c>
      <c r="B43" s="630"/>
      <c r="C43" s="630"/>
      <c r="D43" s="630"/>
      <c r="E43" s="630"/>
      <c r="F43" s="630"/>
      <c r="G43" s="630"/>
    </row>
    <row r="44" spans="1:5" ht="13.5">
      <c r="A44" s="327">
        <v>5</v>
      </c>
      <c r="B44" s="328">
        <v>690619</v>
      </c>
      <c r="C44" t="s">
        <v>357</v>
      </c>
      <c r="D44" s="329">
        <v>5</v>
      </c>
      <c r="E44" s="328">
        <v>603383</v>
      </c>
    </row>
    <row r="45" spans="1:5" ht="13.5">
      <c r="A45" s="327">
        <v>6</v>
      </c>
      <c r="B45" s="328">
        <v>6179524</v>
      </c>
      <c r="C45" t="s">
        <v>357</v>
      </c>
      <c r="D45" s="329">
        <v>6</v>
      </c>
      <c r="E45" s="328">
        <v>5776917</v>
      </c>
    </row>
    <row r="46" spans="1:5" ht="13.5">
      <c r="A46" s="327">
        <v>12</v>
      </c>
      <c r="B46" s="328">
        <v>0</v>
      </c>
      <c r="C46" t="s">
        <v>357</v>
      </c>
      <c r="D46" s="329">
        <v>12</v>
      </c>
      <c r="E46" s="328">
        <v>0</v>
      </c>
    </row>
    <row r="47" spans="1:5" ht="13.5">
      <c r="A47" s="327">
        <v>16</v>
      </c>
      <c r="B47" s="328">
        <v>12982875</v>
      </c>
      <c r="C47" t="s">
        <v>357</v>
      </c>
      <c r="D47" s="329">
        <v>16</v>
      </c>
      <c r="E47" s="328">
        <v>11425906</v>
      </c>
    </row>
    <row r="48" spans="1:5" ht="13.5">
      <c r="A48" s="327">
        <v>17</v>
      </c>
      <c r="B48" s="328">
        <v>1442965</v>
      </c>
      <c r="C48" t="s">
        <v>357</v>
      </c>
      <c r="D48" s="329">
        <v>17</v>
      </c>
      <c r="E48" s="328">
        <v>1645343</v>
      </c>
    </row>
    <row r="49" spans="1:5" ht="13.5">
      <c r="A49" s="327">
        <v>18</v>
      </c>
      <c r="B49" s="328">
        <v>1335786</v>
      </c>
      <c r="C49" t="s">
        <v>357</v>
      </c>
      <c r="D49" s="329">
        <v>18</v>
      </c>
      <c r="E49" s="328">
        <v>1451234</v>
      </c>
    </row>
    <row r="50" spans="1:5" ht="13.5">
      <c r="A50" s="327">
        <v>20</v>
      </c>
      <c r="B50" s="328">
        <v>10764800</v>
      </c>
      <c r="C50" t="s">
        <v>357</v>
      </c>
      <c r="D50" s="329">
        <v>20</v>
      </c>
      <c r="E50" s="328">
        <v>21827943</v>
      </c>
    </row>
    <row r="51" spans="1:5" ht="13.5">
      <c r="A51" s="327">
        <v>21</v>
      </c>
      <c r="B51" s="328">
        <v>468300</v>
      </c>
      <c r="C51" t="s">
        <v>357</v>
      </c>
      <c r="D51" s="329">
        <v>21</v>
      </c>
      <c r="E51" s="328">
        <v>436422</v>
      </c>
    </row>
    <row r="52" spans="1:5" ht="13.5">
      <c r="A52" s="327">
        <v>22</v>
      </c>
      <c r="B52" s="328">
        <v>137319839</v>
      </c>
      <c r="C52" t="s">
        <v>357</v>
      </c>
      <c r="D52" s="329">
        <v>22</v>
      </c>
      <c r="E52" s="328">
        <v>131100455</v>
      </c>
    </row>
    <row r="53" spans="1:5" ht="13.5">
      <c r="A53" s="327">
        <v>23</v>
      </c>
      <c r="B53" s="328">
        <v>4653202</v>
      </c>
      <c r="C53" t="s">
        <v>357</v>
      </c>
      <c r="D53" s="329">
        <v>23</v>
      </c>
      <c r="E53" s="328">
        <v>4239258</v>
      </c>
    </row>
    <row r="54" spans="1:5" ht="13.5">
      <c r="A54" s="327">
        <v>24</v>
      </c>
      <c r="B54" s="328">
        <v>0</v>
      </c>
      <c r="C54" t="s">
        <v>357</v>
      </c>
      <c r="D54" s="329">
        <v>24</v>
      </c>
      <c r="E54" s="328">
        <v>0</v>
      </c>
    </row>
    <row r="55" spans="1:5" ht="13.5">
      <c r="A55" s="327">
        <v>26</v>
      </c>
      <c r="B55" s="328">
        <v>160661</v>
      </c>
      <c r="C55" t="s">
        <v>357</v>
      </c>
      <c r="D55" s="329">
        <v>26</v>
      </c>
      <c r="E55" s="328">
        <v>129322</v>
      </c>
    </row>
    <row r="56" spans="1:5" ht="13.5">
      <c r="A56" s="327">
        <v>27</v>
      </c>
      <c r="B56" s="328">
        <v>4631184</v>
      </c>
      <c r="C56" t="s">
        <v>357</v>
      </c>
      <c r="D56" s="329">
        <v>27</v>
      </c>
      <c r="E56" s="328">
        <v>3762823</v>
      </c>
    </row>
    <row r="57" spans="1:5" ht="13.5">
      <c r="A57" s="327">
        <v>37</v>
      </c>
      <c r="B57" s="328">
        <v>0</v>
      </c>
      <c r="C57" t="s">
        <v>357</v>
      </c>
      <c r="D57" s="329">
        <v>37</v>
      </c>
      <c r="E57" s="328">
        <v>0</v>
      </c>
    </row>
    <row r="58" spans="1:5" ht="13.5">
      <c r="A58" s="327">
        <v>39</v>
      </c>
      <c r="B58" s="328">
        <v>0</v>
      </c>
      <c r="C58" t="s">
        <v>357</v>
      </c>
      <c r="D58" s="329">
        <v>39</v>
      </c>
      <c r="E58" s="328">
        <v>0</v>
      </c>
    </row>
    <row r="59" spans="1:5" ht="13.5">
      <c r="A59" s="327">
        <v>52</v>
      </c>
      <c r="B59" s="328">
        <v>11428</v>
      </c>
      <c r="C59" t="s">
        <v>357</v>
      </c>
      <c r="D59" s="329">
        <v>52</v>
      </c>
      <c r="E59" s="328">
        <v>6120</v>
      </c>
    </row>
    <row r="60" spans="1:5" ht="13.5">
      <c r="A60" s="327">
        <v>54</v>
      </c>
      <c r="B60" s="328">
        <v>901247758</v>
      </c>
      <c r="C60" t="s">
        <v>357</v>
      </c>
      <c r="D60" s="329">
        <v>54</v>
      </c>
      <c r="E60" s="328">
        <v>885358488</v>
      </c>
    </row>
    <row r="61" spans="1:5" ht="13.5">
      <c r="A61" s="327">
        <v>55</v>
      </c>
      <c r="B61" s="328">
        <v>2655757</v>
      </c>
      <c r="C61" t="s">
        <v>357</v>
      </c>
      <c r="D61" s="329">
        <v>55</v>
      </c>
      <c r="E61" s="328">
        <v>2459518</v>
      </c>
    </row>
    <row r="62" spans="1:5" ht="13.5">
      <c r="A62" s="327">
        <v>56</v>
      </c>
      <c r="B62" s="328">
        <v>0</v>
      </c>
      <c r="C62" t="s">
        <v>357</v>
      </c>
      <c r="D62" s="329">
        <v>56</v>
      </c>
      <c r="E62" s="328">
        <v>0</v>
      </c>
    </row>
  </sheetData>
  <mergeCells count="4">
    <mergeCell ref="A1:B1"/>
    <mergeCell ref="A3:B3"/>
    <mergeCell ref="D3:E3"/>
    <mergeCell ref="A43:G43"/>
  </mergeCells>
  <printOptions/>
  <pageMargins left="0.75" right="0.75" top="1" bottom="1" header="0.512" footer="0.512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F-Admin</cp:lastModifiedBy>
  <cp:lastPrinted>2009-04-30T08:19:54Z</cp:lastPrinted>
  <dcterms:created xsi:type="dcterms:W3CDTF">2001-12-17T07:46:52Z</dcterms:created>
  <dcterms:modified xsi:type="dcterms:W3CDTF">2009-05-11T11:32:32Z</dcterms:modified>
  <cp:category/>
  <cp:version/>
  <cp:contentType/>
  <cp:contentStatus/>
</cp:coreProperties>
</file>