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20428_福島県総合評価方式実施要領の運用について（様式修正）\02_修正データ\"/>
    </mc:Choice>
  </mc:AlternateContent>
  <workbookProtection workbookPassword="B450" lockStructure="1"/>
  <bookViews>
    <workbookView xWindow="0" yWindow="0" windowWidth="23040" windowHeight="8736" tabRatio="763"/>
  </bookViews>
  <sheets>
    <sheet name="1.基本データ(このシートは削除しないこと！)" sheetId="5" r:id="rId1"/>
    <sheet name="2.様式第1号(標準型)" sheetId="6" r:id="rId2"/>
    <sheet name="3.様式第6～8号(標準型)" sheetId="2" r:id="rId3"/>
    <sheet name="リスト" sheetId="8" r:id="rId4"/>
    <sheet name="リスト2" sheetId="9" r:id="rId5"/>
  </sheets>
  <definedNames>
    <definedName name="_xlnm.Print_Area" localSheetId="0">'1.基本データ(このシートは削除しないこと！)'!$B$1:$F$52</definedName>
    <definedName name="_xlnm.Print_Area" localSheetId="1">'2.様式第1号(標準型)'!$A$1:$D$39</definedName>
    <definedName name="_xlnm.Print_Area" localSheetId="2">'3.様式第6～8号(標準型)'!$A$2:$R$80</definedName>
  </definedNames>
  <calcPr calcId="162913"/>
</workbook>
</file>

<file path=xl/calcChain.xml><?xml version="1.0" encoding="utf-8"?>
<calcChain xmlns="http://schemas.openxmlformats.org/spreadsheetml/2006/main">
  <c r="W22" i="2" l="1"/>
  <c r="AJ8" i="2" l="1"/>
  <c r="AL8" i="2" s="1"/>
  <c r="U28" i="2" l="1"/>
  <c r="W60" i="2" l="1"/>
  <c r="E57" i="2" l="1"/>
  <c r="Z62" i="2"/>
  <c r="Z61" i="2"/>
  <c r="U16" i="2" l="1"/>
  <c r="AE61" i="2" l="1"/>
  <c r="AA64" i="2"/>
  <c r="AA63" i="2"/>
  <c r="AA62" i="2"/>
  <c r="AA61" i="2"/>
  <c r="Z64" i="2"/>
  <c r="Z63" i="2"/>
  <c r="V58" i="2"/>
  <c r="E45" i="2" l="1"/>
  <c r="AJ9" i="2" l="1"/>
  <c r="AL9" i="2" s="1"/>
  <c r="E4" i="2"/>
  <c r="C14" i="6"/>
  <c r="C13" i="6"/>
  <c r="C11" i="6"/>
  <c r="C10" i="6"/>
  <c r="C8" i="6"/>
  <c r="C3" i="6"/>
  <c r="H11" i="5"/>
  <c r="C7" i="6" s="1"/>
  <c r="H10" i="5"/>
  <c r="H9" i="5"/>
  <c r="H8" i="5"/>
  <c r="H7" i="5"/>
  <c r="H6" i="5"/>
  <c r="H5" i="5"/>
  <c r="B8" i="6" l="1"/>
  <c r="AE76" i="2"/>
  <c r="AE77" i="2" s="1"/>
  <c r="AE75" i="2"/>
  <c r="AE74" i="2"/>
  <c r="AE73" i="2"/>
  <c r="AE72" i="2"/>
  <c r="AE71" i="2"/>
  <c r="AE70" i="2"/>
  <c r="AE69" i="2"/>
  <c r="AE68" i="2"/>
  <c r="AE67" i="2"/>
  <c r="U33" i="2" l="1"/>
  <c r="E9" i="2" l="1"/>
  <c r="U55" i="2" l="1"/>
  <c r="V26" i="2" l="1"/>
  <c r="U22" i="2"/>
  <c r="V55" i="2" s="1"/>
  <c r="X55" i="2" l="1"/>
  <c r="AD55" i="2" l="1"/>
  <c r="AO55" i="2"/>
  <c r="F55" i="2" s="1"/>
  <c r="U11" i="2"/>
  <c r="U10" i="2"/>
  <c r="U9" i="2"/>
  <c r="U8" i="2"/>
  <c r="U7" i="2"/>
  <c r="U6" i="2"/>
  <c r="R43" i="2" l="1"/>
  <c r="U51" i="2" l="1"/>
  <c r="U50" i="2"/>
  <c r="U49" i="2"/>
  <c r="U48" i="2"/>
  <c r="U47" i="2"/>
  <c r="AO47" i="2" s="1"/>
  <c r="U36" i="2"/>
  <c r="U35" i="2"/>
  <c r="U34" i="2"/>
  <c r="U32" i="2"/>
  <c r="U31" i="2"/>
  <c r="U30" i="2"/>
  <c r="U29" i="2"/>
  <c r="U27" i="2"/>
  <c r="U26" i="2"/>
  <c r="X24" i="2"/>
  <c r="W24" i="2"/>
  <c r="W23" i="2"/>
  <c r="V23" i="2"/>
  <c r="V22" i="2"/>
  <c r="U15" i="2"/>
  <c r="AO15" i="2" s="1"/>
  <c r="F15" i="2" s="1"/>
  <c r="U14" i="2"/>
  <c r="U13" i="2"/>
  <c r="AD9" i="2"/>
  <c r="AF9" i="2" s="1"/>
  <c r="U12" i="2"/>
  <c r="X26" i="2" l="1"/>
  <c r="AD26" i="2" s="1"/>
  <c r="Y22" i="2"/>
  <c r="V9" i="2"/>
  <c r="E55" i="2"/>
  <c r="X9" i="2" l="1"/>
  <c r="AO9" i="2" l="1"/>
  <c r="F9" i="2" s="1"/>
  <c r="E48" i="2"/>
  <c r="E49" i="2"/>
  <c r="E51" i="2"/>
  <c r="E52" i="2"/>
  <c r="E53" i="2"/>
  <c r="E54" i="2"/>
  <c r="E47" i="2"/>
  <c r="AA71" i="2" l="1"/>
  <c r="AD71" i="2" s="1"/>
  <c r="Y71" i="2"/>
  <c r="X71" i="2"/>
  <c r="W71" i="2"/>
  <c r="U71" i="2"/>
  <c r="AA70" i="2"/>
  <c r="Y70" i="2"/>
  <c r="X70" i="2"/>
  <c r="W70" i="2"/>
  <c r="U70" i="2"/>
  <c r="AD70" i="2" l="1"/>
  <c r="E18" i="2" l="1"/>
  <c r="E20" i="2"/>
  <c r="E19" i="2"/>
  <c r="E17" i="2"/>
  <c r="U19" i="2" l="1"/>
  <c r="AO19" i="2" s="1"/>
  <c r="F19" i="2" s="1"/>
  <c r="AE64" i="2" l="1"/>
  <c r="AE63" i="2"/>
  <c r="AE62" i="2"/>
  <c r="Y61" i="2"/>
  <c r="AB61" i="2" s="1"/>
  <c r="W68" i="2" l="1"/>
  <c r="W69" i="2"/>
  <c r="W72" i="2"/>
  <c r="W73" i="2"/>
  <c r="W74" i="2"/>
  <c r="W75" i="2"/>
  <c r="W76" i="2"/>
  <c r="W67" i="2"/>
  <c r="X67" i="2"/>
  <c r="W77" i="2" l="1"/>
  <c r="AD61" i="2"/>
  <c r="AF61" i="2" s="1"/>
  <c r="E34" i="2" l="1"/>
  <c r="V34" i="2"/>
  <c r="V30" i="2"/>
  <c r="V12" i="2"/>
  <c r="X12" i="2" s="1"/>
  <c r="AD12" i="2" s="1"/>
  <c r="V6" i="2"/>
  <c r="X6" i="2" s="1"/>
  <c r="AO6" i="2" l="1"/>
  <c r="F6" i="2" s="1"/>
  <c r="AD6" i="2"/>
  <c r="X30" i="2"/>
  <c r="X34" i="2"/>
  <c r="F12" i="2"/>
  <c r="W62" i="2"/>
  <c r="W61" i="2"/>
  <c r="AO12" i="2" l="1"/>
  <c r="E21" i="5"/>
  <c r="E20" i="5"/>
  <c r="D21" i="5"/>
  <c r="D20" i="5"/>
  <c r="Z71" i="2" l="1"/>
  <c r="Z70" i="2"/>
  <c r="AB70" i="2"/>
  <c r="AB71" i="2"/>
  <c r="H17" i="5"/>
  <c r="AM71" i="2" l="1"/>
  <c r="AM77" i="2"/>
  <c r="AM70" i="2"/>
  <c r="AM69" i="2"/>
  <c r="AM72" i="2"/>
  <c r="AM73" i="2"/>
  <c r="AM67" i="2"/>
  <c r="AM76" i="2"/>
  <c r="AM75" i="2"/>
  <c r="AM74" i="2"/>
  <c r="AM68" i="2"/>
  <c r="AO69" i="2"/>
  <c r="AO68" i="2"/>
  <c r="AO77" i="2"/>
  <c r="AO71" i="2"/>
  <c r="AO70" i="2"/>
  <c r="AO72" i="2"/>
  <c r="AO73" i="2"/>
  <c r="AO74" i="2"/>
  <c r="AO67" i="2"/>
  <c r="AO76" i="2"/>
  <c r="AO75" i="2"/>
  <c r="AC71" i="2"/>
  <c r="AL71" i="2" s="1"/>
  <c r="AC70" i="2"/>
  <c r="AL70" i="2" s="1"/>
  <c r="H16" i="5"/>
  <c r="U53" i="2"/>
  <c r="AO53" i="2" s="1"/>
  <c r="F53" i="2" s="1"/>
  <c r="AO50" i="2"/>
  <c r="F50" i="2" s="1"/>
  <c r="E50" i="2"/>
  <c r="U52" i="2"/>
  <c r="AO52" i="2" s="1"/>
  <c r="F52" i="2" s="1"/>
  <c r="AO51" i="2"/>
  <c r="F51" i="2" s="1"/>
  <c r="AO49" i="2"/>
  <c r="F49" i="2" s="1"/>
  <c r="AO48" i="2"/>
  <c r="F48" i="2" s="1"/>
  <c r="F47" i="2"/>
  <c r="AN70" i="2" l="1"/>
  <c r="V56" i="2"/>
  <c r="AD57" i="2" s="1"/>
  <c r="W56" i="2"/>
  <c r="AD58" i="2" s="1"/>
  <c r="AE58" i="2" s="1"/>
  <c r="U56" i="2"/>
  <c r="AK71" i="2"/>
  <c r="AN71" i="2" s="1"/>
  <c r="AK70" i="2"/>
  <c r="AD56" i="2" l="1"/>
  <c r="AE56" i="2" s="1"/>
  <c r="X56" i="2"/>
  <c r="AO56" i="2" l="1"/>
  <c r="F56" i="2" s="1"/>
  <c r="E22" i="2"/>
  <c r="AO16" i="2"/>
  <c r="E16" i="2"/>
  <c r="E15" i="2"/>
  <c r="E12" i="2"/>
  <c r="F16" i="2" l="1"/>
  <c r="U54" i="2" l="1"/>
  <c r="AO54" i="2" s="1"/>
  <c r="F54" i="2" s="1"/>
  <c r="U20" i="2"/>
  <c r="AO20" i="2" s="1"/>
  <c r="F20" i="2" s="1"/>
  <c r="U18" i="2"/>
  <c r="AO18" i="2" s="1"/>
  <c r="F18" i="2" s="1"/>
  <c r="U17" i="2"/>
  <c r="AO17" i="2" s="1"/>
  <c r="F17" i="2" s="1"/>
  <c r="E6" i="2" l="1"/>
  <c r="E26" i="2"/>
  <c r="E30" i="2"/>
  <c r="E56" i="2"/>
  <c r="E68" i="2"/>
  <c r="E67" i="2"/>
  <c r="E69" i="2"/>
  <c r="E72" i="2"/>
  <c r="E74" i="2"/>
  <c r="E76" i="2"/>
  <c r="U77" i="2" l="1"/>
  <c r="U76" i="2"/>
  <c r="AA72" i="2" l="1"/>
  <c r="AD72" i="2" s="1"/>
  <c r="AA73" i="2"/>
  <c r="AD73" i="2" s="1"/>
  <c r="AA74" i="2"/>
  <c r="AD74" i="2" s="1"/>
  <c r="AA75" i="2"/>
  <c r="AD75" i="2" s="1"/>
  <c r="AA76" i="2"/>
  <c r="AA69" i="2"/>
  <c r="AD69" i="2" s="1"/>
  <c r="AA68" i="2"/>
  <c r="AD68" i="2" s="1"/>
  <c r="AA67" i="2"/>
  <c r="AD67" i="2" s="1"/>
  <c r="Y72" i="2"/>
  <c r="Y73" i="2"/>
  <c r="Y74" i="2"/>
  <c r="Y75" i="2"/>
  <c r="Y76" i="2"/>
  <c r="Y69" i="2"/>
  <c r="Y68" i="2"/>
  <c r="Y67" i="2"/>
  <c r="X73" i="2"/>
  <c r="X74" i="2"/>
  <c r="X75" i="2"/>
  <c r="X76" i="2"/>
  <c r="X72" i="2"/>
  <c r="X69" i="2"/>
  <c r="X68" i="2"/>
  <c r="U75" i="2"/>
  <c r="U74" i="2"/>
  <c r="U73" i="2"/>
  <c r="U72" i="2"/>
  <c r="U69" i="2"/>
  <c r="V69" i="2" s="1"/>
  <c r="U68" i="2"/>
  <c r="U67" i="2"/>
  <c r="V72" i="2" l="1"/>
  <c r="V74" i="2" s="1"/>
  <c r="Y77" i="2"/>
  <c r="AD76" i="2"/>
  <c r="AA77" i="2"/>
  <c r="X77" i="2"/>
  <c r="AD77" i="2" l="1"/>
  <c r="V76" i="2"/>
  <c r="V59" i="2" l="1"/>
  <c r="Y62" i="2"/>
  <c r="AB62" i="2" s="1"/>
  <c r="V62" i="2"/>
  <c r="V61" i="2"/>
  <c r="AD62" i="2" s="1"/>
  <c r="Y64" i="2" l="1"/>
  <c r="AB64" i="2" s="1"/>
  <c r="Y63" i="2"/>
  <c r="AB63" i="2" s="1"/>
  <c r="AD64" i="2"/>
  <c r="AD63" i="2"/>
  <c r="AO26" i="2" l="1"/>
  <c r="F26" i="2" s="1"/>
  <c r="AD30" i="2"/>
  <c r="AO30" i="2" s="1"/>
  <c r="F30" i="2" s="1"/>
  <c r="Y24" i="2"/>
  <c r="Y23" i="2"/>
  <c r="AD34" i="2"/>
  <c r="AO34" i="2" s="1"/>
  <c r="F34" i="2" s="1"/>
  <c r="AO22" i="2" l="1"/>
  <c r="F22" i="2" s="1"/>
  <c r="H15" i="5" l="1"/>
  <c r="H14" i="5"/>
  <c r="H13" i="5"/>
  <c r="A16" i="6" l="1"/>
  <c r="Z68" i="2"/>
  <c r="Z69" i="2"/>
  <c r="Z76" i="2"/>
  <c r="Z67" i="2"/>
  <c r="Z74" i="2"/>
  <c r="Z73" i="2"/>
  <c r="Z72" i="2"/>
  <c r="Z75" i="2"/>
  <c r="E44" i="2"/>
  <c r="E3" i="2"/>
  <c r="AB68" i="2"/>
  <c r="AB69" i="2"/>
  <c r="AB76" i="2"/>
  <c r="AB67" i="2"/>
  <c r="AB74" i="2"/>
  <c r="AB73" i="2"/>
  <c r="AB72" i="2"/>
  <c r="AB75" i="2"/>
  <c r="AF63" i="2"/>
  <c r="AF64" i="2"/>
  <c r="AC72" i="2" l="1"/>
  <c r="AL72" i="2" s="1"/>
  <c r="Z77" i="2"/>
  <c r="AB77" i="2"/>
  <c r="AC69" i="2"/>
  <c r="AL69" i="2" s="1"/>
  <c r="AC75" i="2"/>
  <c r="AC67" i="2"/>
  <c r="AB60" i="2"/>
  <c r="V60" i="2" s="1"/>
  <c r="AC74" i="2"/>
  <c r="AC68" i="2"/>
  <c r="AL68" i="2" s="1"/>
  <c r="AC76" i="2"/>
  <c r="AL76" i="2" s="1"/>
  <c r="AC73" i="2"/>
  <c r="AF62" i="2"/>
  <c r="AF60" i="2" s="1"/>
  <c r="W63" i="2" l="1"/>
  <c r="V63" i="2"/>
  <c r="AO64" i="2"/>
  <c r="AO62" i="2"/>
  <c r="AO63" i="2"/>
  <c r="AN72" i="2"/>
  <c r="AJ72" i="2"/>
  <c r="AN62" i="2"/>
  <c r="AN64" i="2"/>
  <c r="AN63" i="2"/>
  <c r="AN58" i="2"/>
  <c r="AG60" i="2"/>
  <c r="AJ67" i="2"/>
  <c r="AK67" i="2"/>
  <c r="AL67" i="2"/>
  <c r="AN67" i="2" s="1"/>
  <c r="AP67" i="2" s="1"/>
  <c r="AL75" i="2"/>
  <c r="AK75" i="2"/>
  <c r="AJ75" i="2"/>
  <c r="AL73" i="2"/>
  <c r="AJ73" i="2"/>
  <c r="AK73" i="2"/>
  <c r="AL74" i="2"/>
  <c r="AK74" i="2"/>
  <c r="AJ74" i="2"/>
  <c r="AK72" i="2"/>
  <c r="AC77" i="2"/>
  <c r="AL77" i="2" s="1"/>
  <c r="AJ76" i="2"/>
  <c r="AN76" i="2" s="1"/>
  <c r="AK76" i="2"/>
  <c r="AK69" i="2"/>
  <c r="AN69" i="2" s="1"/>
  <c r="AP69" i="2" s="1"/>
  <c r="AJ68" i="2"/>
  <c r="AK68" i="2"/>
  <c r="V64" i="2" l="1"/>
  <c r="J63" i="2" s="1"/>
  <c r="W64" i="2"/>
  <c r="AN75" i="2"/>
  <c r="AN73" i="2"/>
  <c r="AP72" i="2" s="1"/>
  <c r="AN74" i="2"/>
  <c r="AP64" i="2"/>
  <c r="F57" i="2" s="1"/>
  <c r="AP74" i="2"/>
  <c r="AN68" i="2"/>
  <c r="AP68" i="2" s="1"/>
  <c r="F68" i="2" s="1"/>
  <c r="AS57" i="2"/>
  <c r="AS60" i="2"/>
  <c r="AS59" i="2"/>
  <c r="AS58" i="2"/>
  <c r="AR59" i="2"/>
  <c r="AR58" i="2"/>
  <c r="AR57" i="2"/>
  <c r="AR60" i="2"/>
  <c r="AJ77" i="2"/>
  <c r="AN77" i="2" s="1"/>
  <c r="AP76" i="2" s="1"/>
  <c r="AK77" i="2"/>
  <c r="AS61" i="2" l="1"/>
  <c r="AR61" i="2"/>
  <c r="AR66" i="2" s="1"/>
  <c r="J64" i="2"/>
  <c r="F69" i="2" l="1"/>
  <c r="F67" i="2"/>
  <c r="B65" i="2"/>
  <c r="AS62" i="2"/>
  <c r="AS63" i="2" l="1"/>
  <c r="F76" i="2" l="1"/>
  <c r="F74" i="2"/>
  <c r="F72" i="2"/>
  <c r="R1" i="2" l="1"/>
  <c r="D23" i="5" s="1"/>
</calcChain>
</file>

<file path=xl/sharedStrings.xml><?xml version="1.0" encoding="utf-8"?>
<sst xmlns="http://schemas.openxmlformats.org/spreadsheetml/2006/main" count="803" uniqueCount="439">
  <si>
    <t>項　　　　目</t>
  </si>
  <si>
    <t>※　記載事項の基準日は開札日とする。</t>
  </si>
  <si>
    <t>項目</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</si>
  <si>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</si>
  <si>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</si>
  <si>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6"/>
  </si>
  <si>
    <t>県内</t>
    <rPh sb="0" eb="2">
      <t>ケンナイ</t>
    </rPh>
    <phoneticPr fontId="36"/>
  </si>
  <si>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</si>
  <si>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</si>
  <si>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</si>
  <si>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</si>
  <si>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</si>
  <si>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</si>
  <si>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</si>
  <si>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</si>
  <si>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</si>
  <si>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</si>
  <si>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6"/>
  </si>
  <si>
    <t>代表者氏名</t>
    <phoneticPr fontId="36"/>
  </si>
  <si>
    <t>（作成担当者</t>
    <phoneticPr fontId="36"/>
  </si>
  <si>
    <t>　福　島　県</t>
    <phoneticPr fontId="36"/>
  </si>
  <si>
    <r>
      <rPr>
        <sz val="12"/>
        <color rgb="FF000000"/>
        <rFont val="ＭＳ Ｐゴシック"/>
        <family val="3"/>
        <charset val="128"/>
        <scheme val="minor"/>
      </rPr>
      <t>様式第１号</t>
    </r>
    <r>
      <rPr>
        <sz val="12"/>
        <color rgb="FF000000"/>
        <rFont val="ＭＳ 明朝"/>
        <family val="1"/>
        <charset val="128"/>
      </rPr>
      <t>（第７条関係）</t>
    </r>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</si>
  <si>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</si>
  <si>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</si>
  <si>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</si>
  <si>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</si>
  <si>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</si>
  <si>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</si>
  <si>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</si>
  <si>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</si>
  <si>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</si>
  <si>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</si>
  <si>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猪苗代土木</t>
    <rPh sb="0" eb="3">
      <t>イナワシロ</t>
    </rPh>
    <rPh sb="3" eb="5">
      <t>ドボク</t>
    </rPh>
    <phoneticPr fontId="36"/>
  </si>
  <si>
    <t>南会津建設</t>
    <rPh sb="0" eb="3">
      <t>ミナミアイヅ</t>
    </rPh>
    <rPh sb="3" eb="5">
      <t>ケンセツ</t>
    </rPh>
    <phoneticPr fontId="36"/>
  </si>
  <si>
    <t>西会津町</t>
    <rPh sb="0" eb="4">
      <t>ニシアイヅマチ</t>
    </rPh>
    <phoneticPr fontId="36"/>
  </si>
  <si>
    <t>-</t>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</si>
  <si>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</si>
  <si>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</si>
  <si>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</si>
  <si>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</si>
  <si>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</si>
  <si>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</si>
  <si>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</si>
  <si>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</si>
  <si>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</si>
  <si>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</si>
  <si>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</si>
  <si>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</si>
  <si>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</si>
  <si>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</si>
  <si>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</si>
  <si>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</si>
  <si>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</si>
  <si>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</si>
  <si>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</si>
  <si>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</si>
  <si>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</si>
  <si>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</si>
  <si>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</si>
  <si>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</si>
  <si>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</si>
  <si>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</si>
  <si>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</si>
  <si>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</si>
  <si>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</si>
  <si>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</si>
  <si>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</si>
  <si>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</si>
  <si>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</si>
  <si>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</si>
  <si>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</si>
  <si>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</si>
  <si>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</si>
  <si>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</si>
  <si>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</si>
  <si>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</si>
  <si>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</si>
  <si>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</si>
  <si>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</si>
  <si>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</si>
  <si>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</si>
  <si>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</si>
  <si>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</si>
  <si>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</si>
  <si>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</si>
  <si>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</si>
  <si>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</si>
  <si>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</si>
  <si>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</si>
  <si>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</si>
  <si>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</si>
  <si>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</si>
  <si>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</si>
  <si>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</si>
  <si>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</si>
  <si>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</si>
  <si>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</si>
  <si>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</si>
  <si>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</si>
  <si>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</si>
  <si>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</si>
  <si>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</si>
  <si>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</si>
  <si>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</si>
  <si>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</si>
  <si>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</si>
  <si>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</si>
  <si>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</si>
  <si>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</si>
  <si>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</si>
  <si>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</si>
  <si>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</si>
  <si>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</si>
  <si>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</si>
  <si>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</si>
  <si>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</si>
  <si>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</si>
  <si>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</si>
  <si>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</si>
  <si>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</si>
  <si>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</si>
  <si>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</si>
  <si>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</si>
  <si>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</si>
  <si>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</si>
  <si>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</si>
  <si>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</si>
  <si>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</si>
  <si>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</si>
  <si>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</si>
  <si>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</si>
  <si>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</si>
  <si>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</si>
  <si>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</si>
  <si>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</si>
  <si>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</si>
  <si>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</si>
  <si>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</si>
  <si>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</si>
  <si>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</si>
  <si>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</si>
  <si>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</si>
  <si>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</si>
  <si>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 xml:space="preserve">第○○-○○○○○-○○○○号 </t>
    <rPh sb="0" eb="1">
      <t>ダイ</t>
    </rPh>
    <rPh sb="14" eb="15">
      <t>ゴウ</t>
    </rPh>
    <phoneticPr fontId="36"/>
  </si>
  <si>
    <t>工事番号・工事名：</t>
    <phoneticPr fontId="36"/>
  </si>
  <si>
    <t>会社名：</t>
    <phoneticPr fontId="36"/>
  </si>
  <si>
    <t>-</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</si>
  <si>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</si>
  <si>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</si>
  <si>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</si>
  <si>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</si>
  <si>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</si>
  <si>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</si>
  <si>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</si>
  <si>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</si>
  <si>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</si>
  <si>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</si>
  <si>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</si>
  <si>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</si>
  <si>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</si>
  <si>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</si>
  <si>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</si>
  <si>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</si>
  <si>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</si>
  <si>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</si>
  <si>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</si>
  <si>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</si>
  <si>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</si>
  <si>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</si>
  <si>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</si>
  <si>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</si>
  <si>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</si>
  <si>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</si>
  <si>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</si>
  <si>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配点
(満点)</t>
    <rPh sb="0" eb="2">
      <t>ハイテン</t>
    </rPh>
    <rPh sb="4" eb="6">
      <t>マンテン</t>
    </rPh>
    <phoneticPr fontId="18"/>
  </si>
  <si>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</si>
  <si>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</si>
  <si>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</si>
  <si>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</si>
  <si>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1：OK</t>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</si>
  <si>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</si>
  <si>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</si>
  <si>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</si>
  <si>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</si>
  <si>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</si>
  <si>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</si>
  <si>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</si>
  <si>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</si>
  <si>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</si>
  <si>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</si>
  <si>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</si>
  <si>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</si>
  <si>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</si>
  <si>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</si>
  <si>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</si>
  <si>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</si>
  <si>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10年以内</t>
    <rPh sb="2" eb="3">
      <t>ネン</t>
    </rPh>
    <rPh sb="3" eb="5">
      <t>イナイ</t>
    </rPh>
    <phoneticPr fontId="36"/>
  </si>
  <si>
    <t>企業の工事成績</t>
    <phoneticPr fontId="36"/>
  </si>
  <si>
    <t>福島県
優良工事表彰</t>
    <rPh sb="0" eb="3">
      <t>フクシマケン</t>
    </rPh>
    <rPh sb="4" eb="6">
      <t>ユウリョウ</t>
    </rPh>
    <rPh sb="6" eb="8">
      <t>コウジ</t>
    </rPh>
    <rPh sb="8" eb="10">
      <t>ヒョウショウ</t>
    </rPh>
    <phoneticPr fontId="36"/>
  </si>
  <si>
    <t>受賞年度</t>
    <rPh sb="0" eb="2">
      <t>ジュショウ</t>
    </rPh>
    <rPh sb="2" eb="4">
      <t>ネンド</t>
    </rPh>
    <phoneticPr fontId="36"/>
  </si>
  <si>
    <t>受賞部門</t>
    <rPh sb="0" eb="2">
      <t>ジュショウ</t>
    </rPh>
    <rPh sb="2" eb="4">
      <t>ブモン</t>
    </rPh>
    <phoneticPr fontId="36"/>
  </si>
  <si>
    <t>品質管理能力</t>
    <rPh sb="0" eb="2">
      <t>ヒンシツ</t>
    </rPh>
    <rPh sb="2" eb="4">
      <t>カンリ</t>
    </rPh>
    <rPh sb="4" eb="6">
      <t>ノウリョク</t>
    </rPh>
    <phoneticPr fontId="36"/>
  </si>
  <si>
    <t>技術者確保者数</t>
    <rPh sb="0" eb="3">
      <t>ギジュツシャ</t>
    </rPh>
    <rPh sb="3" eb="5">
      <t>カクホ</t>
    </rPh>
    <rPh sb="5" eb="6">
      <t>シャ</t>
    </rPh>
    <rPh sb="6" eb="7">
      <t>スウ</t>
    </rPh>
    <phoneticPr fontId="36"/>
  </si>
  <si>
    <t>技術者確保数</t>
    <rPh sb="0" eb="3">
      <t>ギジュツシャ</t>
    </rPh>
    <rPh sb="3" eb="5">
      <t>カクホ</t>
    </rPh>
    <rPh sb="5" eb="6">
      <t>スウ</t>
    </rPh>
    <phoneticPr fontId="36"/>
  </si>
  <si>
    <t>技能士あり</t>
    <rPh sb="0" eb="3">
      <t>ギノウシ</t>
    </rPh>
    <phoneticPr fontId="36"/>
  </si>
  <si>
    <t>資格名称</t>
    <rPh sb="0" eb="2">
      <t>シカク</t>
    </rPh>
    <rPh sb="2" eb="4">
      <t>メイショウ</t>
    </rPh>
    <phoneticPr fontId="36"/>
  </si>
  <si>
    <t>上記「資格保有年数」の資格におけるCPD制度での継続したポイントの取得(1年以上の継続)</t>
    <rPh sb="0" eb="2">
      <t>ジョウキ</t>
    </rPh>
    <rPh sb="3" eb="5">
      <t>シカク</t>
    </rPh>
    <rPh sb="5" eb="7">
      <t>ホユウ</t>
    </rPh>
    <rPh sb="7" eb="9">
      <t>ネンスウ</t>
    </rPh>
    <rPh sb="11" eb="13">
      <t>シカク</t>
    </rPh>
    <rPh sb="20" eb="22">
      <t>セイド</t>
    </rPh>
    <rPh sb="24" eb="26">
      <t>ケイゾク</t>
    </rPh>
    <rPh sb="33" eb="35">
      <t>シュトク</t>
    </rPh>
    <rPh sb="37" eb="38">
      <t>ネン</t>
    </rPh>
    <rPh sb="38" eb="40">
      <t>イジョウ</t>
    </rPh>
    <rPh sb="41" eb="43">
      <t>ケイゾク</t>
    </rPh>
    <phoneticPr fontId="36"/>
  </si>
  <si>
    <r>
      <t xml:space="preserve">保有年数
</t>
    </r>
    <r>
      <rPr>
        <sz val="7"/>
        <color rgb="FF000000"/>
        <rFont val="ＭＳ 明朝"/>
        <family val="1"/>
        <charset val="128"/>
      </rPr>
      <t>（"年"は自動表示されます。）</t>
    </r>
    <rPh sb="0" eb="2">
      <t>ホユウ</t>
    </rPh>
    <rPh sb="2" eb="4">
      <t>ネンスウ</t>
    </rPh>
    <rPh sb="7" eb="8">
      <t>ネン</t>
    </rPh>
    <rPh sb="10" eb="12">
      <t>ジドウ</t>
    </rPh>
    <rPh sb="12" eb="14">
      <t>ヒョウジ</t>
    </rPh>
    <phoneticPr fontId="36"/>
  </si>
  <si>
    <t>4：OK</t>
    <phoneticPr fontId="36"/>
  </si>
  <si>
    <t>配置技術者の
福島県
優良工事表彰</t>
    <rPh sb="0" eb="2">
      <t>ハイチ</t>
    </rPh>
    <rPh sb="2" eb="5">
      <t>ギジュツシャ</t>
    </rPh>
    <rPh sb="7" eb="10">
      <t>フクシマケン</t>
    </rPh>
    <rPh sb="11" eb="13">
      <t>ユウリョウ</t>
    </rPh>
    <rPh sb="13" eb="15">
      <t>コウジ</t>
    </rPh>
    <rPh sb="15" eb="17">
      <t>ヒョウショウ</t>
    </rPh>
    <phoneticPr fontId="36"/>
  </si>
  <si>
    <t>※　様式第7号が複数枚提出された場合には、全ての技術者の「配置予定技術者の技術力」を評価しません（0点）。</t>
    <phoneticPr fontId="36"/>
  </si>
  <si>
    <t>環境への配慮</t>
    <rPh sb="0" eb="2">
      <t>カンキョウ</t>
    </rPh>
    <rPh sb="4" eb="6">
      <t>ハイリョ</t>
    </rPh>
    <phoneticPr fontId="36"/>
  </si>
  <si>
    <t>県内業者の活用</t>
    <rPh sb="0" eb="2">
      <t>ケンナイ</t>
    </rPh>
    <rPh sb="2" eb="4">
      <t>ギョウシャ</t>
    </rPh>
    <rPh sb="5" eb="7">
      <t>カツヨウ</t>
    </rPh>
    <phoneticPr fontId="36"/>
  </si>
  <si>
    <t>新分野進出</t>
    <rPh sb="0" eb="3">
      <t>シンブンヤ</t>
    </rPh>
    <rPh sb="3" eb="5">
      <t>シンシュツ</t>
    </rPh>
    <phoneticPr fontId="36"/>
  </si>
  <si>
    <t>障がい者雇用</t>
    <rPh sb="0" eb="1">
      <t>ショウ</t>
    </rPh>
    <rPh sb="3" eb="4">
      <t>シャ</t>
    </rPh>
    <rPh sb="4" eb="6">
      <t>コヨウ</t>
    </rPh>
    <phoneticPr fontId="36"/>
  </si>
  <si>
    <t>法定義務のある企業であり、｢障害者の雇用の促進等に関する法律｣に基づく法定雇用義務を達成している</t>
    <phoneticPr fontId="36"/>
  </si>
  <si>
    <t>法定義務のある企業だが、｢障害者の雇用の促進等に関する法律｣に基づく法定雇用義務を達成していない</t>
    <phoneticPr fontId="36"/>
  </si>
  <si>
    <t>法定義務のない企業だが、 障がい者を雇用している</t>
    <phoneticPr fontId="36"/>
  </si>
  <si>
    <t>法定義務のない企業であり、障がい者を雇用していない</t>
    <phoneticPr fontId="36"/>
  </si>
  <si>
    <t>自らは県外業者（県外に本店がある企業）であるが、当該工事の請負金額の５０％以上を県内業者で施工可能である。</t>
    <phoneticPr fontId="36"/>
  </si>
  <si>
    <t>自らは県内業者（県内に本店がある企業）であり、当該工事の請負金額の８０％以上を県内業者で施工可能である</t>
    <phoneticPr fontId="36"/>
  </si>
  <si>
    <t>左のいずれにもあてはまらない。</t>
    <phoneticPr fontId="36"/>
  </si>
  <si>
    <t>1：一般土木、舗装工事、10：左記以外の工事</t>
    <rPh sb="2" eb="4">
      <t>イッパン</t>
    </rPh>
    <rPh sb="4" eb="6">
      <t>ドボク</t>
    </rPh>
    <rPh sb="7" eb="9">
      <t>ホソウ</t>
    </rPh>
    <rPh sb="9" eb="11">
      <t>コウジ</t>
    </rPh>
    <rPh sb="15" eb="17">
      <t>サキ</t>
    </rPh>
    <rPh sb="17" eb="19">
      <t>イガイ</t>
    </rPh>
    <rPh sb="20" eb="22">
      <t>コウジ</t>
    </rPh>
    <phoneticPr fontId="36"/>
  </si>
  <si>
    <t>3件</t>
    <rPh sb="1" eb="2">
      <t>ケン</t>
    </rPh>
    <phoneticPr fontId="36"/>
  </si>
  <si>
    <t>2件</t>
    <rPh sb="1" eb="2">
      <t>ケン</t>
    </rPh>
    <phoneticPr fontId="36"/>
  </si>
  <si>
    <t>1件</t>
    <rPh sb="1" eb="2">
      <t>ケン</t>
    </rPh>
    <phoneticPr fontId="36"/>
  </si>
  <si>
    <t>1：該当あり</t>
    <rPh sb="2" eb="4">
      <t>ガイトウ</t>
    </rPh>
    <phoneticPr fontId="36"/>
  </si>
  <si>
    <t>企業の地域社会に対する貢献度</t>
    <rPh sb="0" eb="2">
      <t>キギョウ</t>
    </rPh>
    <rPh sb="3" eb="5">
      <t>チイキ</t>
    </rPh>
    <rPh sb="5" eb="7">
      <t>シャカイ</t>
    </rPh>
    <rPh sb="8" eb="9">
      <t>タイ</t>
    </rPh>
    <rPh sb="11" eb="14">
      <t>コウケンド</t>
    </rPh>
    <phoneticPr fontId="36"/>
  </si>
  <si>
    <t>企業の技術力（実績・経験等）</t>
    <rPh sb="0" eb="2">
      <t>キギョウ</t>
    </rPh>
    <rPh sb="3" eb="6">
      <t>ギジュツリョク</t>
    </rPh>
    <rPh sb="7" eb="9">
      <t>ジッセキ</t>
    </rPh>
    <rPh sb="10" eb="12">
      <t>ケイケン</t>
    </rPh>
    <rPh sb="12" eb="13">
      <t>トウ</t>
    </rPh>
    <phoneticPr fontId="36"/>
  </si>
  <si>
    <t>配置予定技術者の技術力（実績・経験等）</t>
    <rPh sb="0" eb="2">
      <t>ハイチ</t>
    </rPh>
    <rPh sb="2" eb="4">
      <t>ヨテイ</t>
    </rPh>
    <rPh sb="4" eb="7">
      <t>ギジュツシャ</t>
    </rPh>
    <rPh sb="8" eb="11">
      <t>ギジュツリョク</t>
    </rPh>
    <rPh sb="12" eb="14">
      <t>ジッセキ</t>
    </rPh>
    <rPh sb="15" eb="17">
      <t>ケイケン</t>
    </rPh>
    <rPh sb="17" eb="18">
      <t>トウ</t>
    </rPh>
    <phoneticPr fontId="36"/>
  </si>
  <si>
    <t>災害対応実績</t>
    <rPh sb="0" eb="2">
      <t>サイガイ</t>
    </rPh>
    <rPh sb="2" eb="4">
      <t>タイオウ</t>
    </rPh>
    <rPh sb="4" eb="6">
      <t>ジッセキ</t>
    </rPh>
    <phoneticPr fontId="18"/>
  </si>
  <si>
    <t>ICT活用工事</t>
    <rPh sb="3" eb="5">
      <t>カツヨウ</t>
    </rPh>
    <rPh sb="5" eb="7">
      <t>コウジ</t>
    </rPh>
    <phoneticPr fontId="36"/>
  </si>
  <si>
    <t>累計</t>
    <rPh sb="0" eb="2">
      <t>ルイケイ</t>
    </rPh>
    <phoneticPr fontId="36"/>
  </si>
  <si>
    <r>
      <t xml:space="preserve">記載事項
</t>
    </r>
    <r>
      <rPr>
        <sz val="7"/>
        <color rgb="FF000000"/>
        <rFont val="ＭＳ 明朝"/>
        <family val="1"/>
        <charset val="128"/>
      </rPr>
      <t>【　記載の仕方　総合評価方式様式関係記載留意事項　§３，４，５　】</t>
    </r>
    <rPh sb="0" eb="2">
      <t>キサイ</t>
    </rPh>
    <rPh sb="2" eb="4">
      <t>ジコウ</t>
    </rPh>
    <phoneticPr fontId="36"/>
  </si>
  <si>
    <t>同一発注種別【選択】</t>
    <rPh sb="0" eb="2">
      <t>ドウイツ</t>
    </rPh>
    <rPh sb="2" eb="4">
      <t>ハッチュウ</t>
    </rPh>
    <rPh sb="4" eb="6">
      <t>シュベツ</t>
    </rPh>
    <rPh sb="7" eb="9">
      <t>センタク</t>
    </rPh>
    <phoneticPr fontId="36"/>
  </si>
  <si>
    <t>地域要件【選択】</t>
    <rPh sb="0" eb="2">
      <t>チイキ</t>
    </rPh>
    <rPh sb="2" eb="4">
      <t>ヨウケン</t>
    </rPh>
    <rPh sb="5" eb="7">
      <t>センタク</t>
    </rPh>
    <phoneticPr fontId="36"/>
  </si>
  <si>
    <t>評価対象</t>
    <rPh sb="0" eb="2">
      <t>ヒョウカ</t>
    </rPh>
    <rPh sb="2" eb="4">
      <t>タイショウ</t>
    </rPh>
    <phoneticPr fontId="36"/>
  </si>
  <si>
    <t>同一土木</t>
    <rPh sb="0" eb="2">
      <t>ドウイツ</t>
    </rPh>
    <rPh sb="2" eb="4">
      <t>ドボク</t>
    </rPh>
    <phoneticPr fontId="36"/>
  </si>
  <si>
    <t>同一建設</t>
    <rPh sb="0" eb="2">
      <t>ドウイツ</t>
    </rPh>
    <rPh sb="2" eb="4">
      <t>ケンセツ</t>
    </rPh>
    <phoneticPr fontId="36"/>
  </si>
  <si>
    <t>県内</t>
    <rPh sb="0" eb="2">
      <t>ケンナイ</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</si>
  <si>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</si>
  <si>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</si>
  <si>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</si>
  <si>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1件以上あり</t>
    <rPh sb="1" eb="2">
      <t>ケン</t>
    </rPh>
    <rPh sb="2" eb="4">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</si>
  <si>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</si>
  <si>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</si>
  <si>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</si>
  <si>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配点
（同一建設or県内）</t>
    <rPh sb="0" eb="2">
      <t>ハイテン</t>
    </rPh>
    <rPh sb="4" eb="6">
      <t>ドウイツ</t>
    </rPh>
    <rPh sb="6" eb="8">
      <t>ケンセツ</t>
    </rPh>
    <rPh sb="10" eb="12">
      <t>ケンナイ</t>
    </rPh>
    <phoneticPr fontId="36"/>
  </si>
  <si>
    <t>・所在建設事務所
　【自動表示】</t>
    <rPh sb="1" eb="3">
      <t>ショザイ</t>
    </rPh>
    <rPh sb="3" eb="5">
      <t>ケンセツ</t>
    </rPh>
    <rPh sb="5" eb="8">
      <t>ジムショ</t>
    </rPh>
    <rPh sb="11" eb="13">
      <t>ジドウ</t>
    </rPh>
    <rPh sb="13" eb="15">
      <t>ヒョウジ</t>
    </rPh>
    <phoneticPr fontId="36"/>
  </si>
  <si>
    <t>発注者</t>
    <rPh sb="0" eb="3">
      <t>ハッチュウシャ</t>
    </rPh>
    <phoneticPr fontId="36"/>
  </si>
  <si>
    <t>直近のポイント取得年月日
（過去1年未満）</t>
    <rPh sb="0" eb="2">
      <t>チョッキン</t>
    </rPh>
    <rPh sb="7" eb="9">
      <t>シュトク</t>
    </rPh>
    <rPh sb="9" eb="12">
      <t>ネンガッピ</t>
    </rPh>
    <rPh sb="14" eb="16">
      <t>カコ</t>
    </rPh>
    <rPh sb="17" eb="18">
      <t>ネン</t>
    </rPh>
    <rPh sb="18" eb="20">
      <t>ミマン</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</si>
  <si>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</si>
  <si>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・判定結果【自動表示】</t>
    <rPh sb="1" eb="3">
      <t>ハンテイ</t>
    </rPh>
    <rPh sb="3" eb="5">
      <t>ケッカ</t>
    </rPh>
    <rPh sb="6" eb="8">
      <t>ジドウ</t>
    </rPh>
    <rPh sb="8" eb="10">
      <t>ヒョウジ</t>
    </rPh>
    <phoneticPr fontId="36"/>
  </si>
  <si>
    <r>
      <t>様式第８号</t>
    </r>
    <r>
      <rPr>
        <sz val="9"/>
        <color rgb="FF000000"/>
        <rFont val="ＭＳ 明朝"/>
        <family val="1"/>
        <charset val="128"/>
      </rPr>
      <t>（第７条関係）</t>
    </r>
    <phoneticPr fontId="18"/>
  </si>
  <si>
    <t>配置技術者</t>
    <rPh sb="0" eb="2">
      <t>ハイチ</t>
    </rPh>
    <rPh sb="2" eb="5">
      <t>ギジュツシャ</t>
    </rPh>
    <phoneticPr fontId="36"/>
  </si>
  <si>
    <t>資格保有年数</t>
    <rPh sb="0" eb="2">
      <t>シカク</t>
    </rPh>
    <rPh sb="2" eb="4">
      <t>ホユウ</t>
    </rPh>
    <rPh sb="4" eb="6">
      <t>ネンスウ</t>
    </rPh>
    <phoneticPr fontId="36"/>
  </si>
  <si>
    <t>継続教育</t>
    <rPh sb="0" eb="2">
      <t>ケイゾク</t>
    </rPh>
    <rPh sb="2" eb="4">
      <t>キョウイク</t>
    </rPh>
    <phoneticPr fontId="36"/>
  </si>
  <si>
    <r>
      <t>・所在土木事務所</t>
    </r>
    <r>
      <rPr>
        <sz val="8"/>
        <color theme="1"/>
        <rFont val="ＭＳ 明朝"/>
        <family val="1"/>
        <charset val="128"/>
      </rPr>
      <t>(19区分)
　</t>
    </r>
    <r>
      <rPr>
        <sz val="10.5"/>
        <color theme="1"/>
        <rFont val="ＭＳ 明朝"/>
        <family val="1"/>
        <charset val="128"/>
      </rPr>
      <t>【自動表示】</t>
    </r>
    <rPh sb="1" eb="3">
      <t>ショザイ</t>
    </rPh>
    <rPh sb="3" eb="5">
      <t>ドボク</t>
    </rPh>
    <rPh sb="5" eb="8">
      <t>ジムショ</t>
    </rPh>
    <rPh sb="11" eb="13">
      <t>クブン</t>
    </rPh>
    <rPh sb="17" eb="19">
      <t>ジドウ</t>
    </rPh>
    <rPh sb="19" eb="21">
      <t>ヒョウジ</t>
    </rPh>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</si>
  <si>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</si>
  <si>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参加者</t>
    <rPh sb="0" eb="3">
      <t>サンカシャ</t>
    </rPh>
    <phoneticPr fontId="36"/>
  </si>
  <si>
    <t>委任なし支店</t>
    <rPh sb="0" eb="2">
      <t>イニン</t>
    </rPh>
    <rPh sb="4" eb="6">
      <t>シテン</t>
    </rPh>
    <phoneticPr fontId="36"/>
  </si>
  <si>
    <t>4:全国の場合で
県内業者</t>
    <rPh sb="2" eb="4">
      <t>ゼンコク</t>
    </rPh>
    <rPh sb="5" eb="7">
      <t>バアイ</t>
    </rPh>
    <rPh sb="9" eb="11">
      <t>ケンナイ</t>
    </rPh>
    <rPh sb="11" eb="13">
      <t>ギョウシャ</t>
    </rPh>
    <phoneticPr fontId="36"/>
  </si>
  <si>
    <t>活動場所</t>
    <rPh sb="0" eb="2">
      <t>カツドウ</t>
    </rPh>
    <rPh sb="2" eb="4">
      <t>バショ</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</si>
  <si>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</si>
  <si>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</si>
  <si>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判定結果</t>
    <rPh sb="0" eb="2">
      <t>ハンテイ</t>
    </rPh>
    <rPh sb="2" eb="4">
      <t>ケッカ</t>
    </rPh>
    <phoneticPr fontId="36"/>
  </si>
  <si>
    <t>3：OK</t>
    <phoneticPr fontId="36"/>
  </si>
  <si>
    <r>
      <t>記　　載　　事　　項　</t>
    </r>
    <r>
      <rPr>
        <sz val="9"/>
        <color rgb="FF000000"/>
        <rFont val="ＭＳ 明朝"/>
        <family val="1"/>
        <charset val="128"/>
      </rPr>
      <t>【　記載の仕方　総合評価方式様式関係記載留意事項　§３，４，５　】</t>
    </r>
  </si>
  <si>
    <r>
      <t>様式第６号・第７号</t>
    </r>
    <r>
      <rPr>
        <sz val="9"/>
        <color rgb="FF000000"/>
        <rFont val="ＭＳ 明朝"/>
        <family val="1"/>
        <charset val="128"/>
      </rPr>
      <t>（第７条関係）</t>
    </r>
    <rPh sb="6" eb="7">
      <t>ダイ</t>
    </rPh>
    <rPh sb="8" eb="9">
      <t>ゴウ</t>
    </rPh>
    <phoneticPr fontId="18"/>
  </si>
  <si>
    <t>ふくしまＭＥ</t>
    <phoneticPr fontId="36"/>
  </si>
  <si>
    <t>↑1でない場合、配置技術者の全ての項目は、0点。</t>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</si>
  <si>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</si>
  <si>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</si>
  <si>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</si>
  <si>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1：80点以上</t>
    <rPh sb="4" eb="5">
      <t>テン</t>
    </rPh>
    <rPh sb="5" eb="7">
      <t>イジョウ</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</si>
  <si>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</si>
  <si>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</si>
  <si>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t>
    <phoneticPr fontId="36"/>
  </si>
  <si>
    <t>入札参加者</t>
    <rPh sb="0" eb="2">
      <t>ニュウサツ</t>
    </rPh>
    <rPh sb="2" eb="4">
      <t>サンカ</t>
    </rPh>
    <rPh sb="4" eb="5">
      <t>シャ</t>
    </rPh>
    <phoneticPr fontId="36"/>
  </si>
  <si>
    <t>委任なし支店等</t>
    <rPh sb="0" eb="2">
      <t>イニン</t>
    </rPh>
    <rPh sb="4" eb="6">
      <t>シテン</t>
    </rPh>
    <rPh sb="6" eb="7">
      <t>トウ</t>
    </rPh>
    <phoneticPr fontId="36"/>
  </si>
  <si>
    <t>○判定結果</t>
    <rPh sb="1" eb="3">
      <t>ハンテイ</t>
    </rPh>
    <rPh sb="3" eb="5">
      <t>ケッカ</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</si>
  <si>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</si>
  <si>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</si>
  <si>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r>
      <t xml:space="preserve">次世代育成支援
</t>
    </r>
    <r>
      <rPr>
        <sz val="8"/>
        <color theme="1"/>
        <rFont val="ＭＳ 明朝"/>
        <family val="1"/>
        <charset val="128"/>
      </rPr>
      <t>（働く女性応援）</t>
    </r>
    <rPh sb="0" eb="3">
      <t>ジセダイ</t>
    </rPh>
    <rPh sb="3" eb="5">
      <t>イクセイ</t>
    </rPh>
    <rPh sb="5" eb="7">
      <t>シエン</t>
    </rPh>
    <rPh sb="9" eb="10">
      <t>ハタラ</t>
    </rPh>
    <rPh sb="11" eb="13">
      <t>ジョセイ</t>
    </rPh>
    <rPh sb="13" eb="15">
      <t>オウエン</t>
    </rPh>
    <phoneticPr fontId="36"/>
  </si>
  <si>
    <t>左記実績の有無を選択↓</t>
    <rPh sb="0" eb="2">
      <t>サキ</t>
    </rPh>
    <rPh sb="2" eb="4">
      <t>ジッセキ</t>
    </rPh>
    <rPh sb="5" eb="7">
      <t>ウム</t>
    </rPh>
    <rPh sb="8" eb="10">
      <t>センタク</t>
    </rPh>
    <phoneticPr fontId="36"/>
  </si>
  <si>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</si>
  <si>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</si>
  <si>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　選択項目について、３項目以上選択された場合、選択されたものの中から上から順に２つを評価する。</t>
    <rPh sb="2" eb="4">
      <t>センタク</t>
    </rPh>
    <rPh sb="4" eb="6">
      <t>コウモク</t>
    </rPh>
    <rPh sb="12" eb="14">
      <t>コウモク</t>
    </rPh>
    <rPh sb="14" eb="16">
      <t>イジョウ</t>
    </rPh>
    <rPh sb="16" eb="18">
      <t>センタク</t>
    </rPh>
    <rPh sb="21" eb="23">
      <t>バアイ</t>
    </rPh>
    <rPh sb="24" eb="26">
      <t>センタク</t>
    </rPh>
    <rPh sb="32" eb="33">
      <t>ナカ</t>
    </rPh>
    <rPh sb="35" eb="36">
      <t>ウエ</t>
    </rPh>
    <rPh sb="38" eb="39">
      <t>ジュン</t>
    </rPh>
    <rPh sb="43" eb="45">
      <t>ヒョウカ</t>
    </rPh>
    <phoneticPr fontId="36"/>
  </si>
  <si>
    <t>自動表示。（入力不要）※</t>
    <rPh sb="0" eb="2">
      <t>ジドウ</t>
    </rPh>
    <rPh sb="2" eb="4">
      <t>ヒョウジ</t>
    </rPh>
    <rPh sb="6" eb="8">
      <t>ニュウリョク</t>
    </rPh>
    <rPh sb="8" eb="10">
      <t>フヨウ</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</si>
  <si>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</si>
  <si>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工事箇所の所在する市町村
【選択】</t>
    <rPh sb="0" eb="2">
      <t>コウジ</t>
    </rPh>
    <rPh sb="2" eb="4">
      <t>カショ</t>
    </rPh>
    <rPh sb="5" eb="7">
      <t>ショザイ</t>
    </rPh>
    <rPh sb="9" eb="12">
      <t>シチョウソン</t>
    </rPh>
    <rPh sb="14" eb="16">
      <t>センタク</t>
    </rPh>
    <phoneticPr fontId="36"/>
  </si>
  <si>
    <t>5：OK</t>
    <phoneticPr fontId="36"/>
  </si>
  <si>
    <t>5：OK</t>
    <phoneticPr fontId="36"/>
  </si>
  <si>
    <t>・（別記２又は３）総合評価点評価基準の※6の市町村を選択する。
・市町村が２箇所設定されている場合のみ、市町村②も選択。</t>
    <rPh sb="5" eb="6">
      <t>マタ</t>
    </rPh>
    <rPh sb="22" eb="25">
      <t>シチョウソン</t>
    </rPh>
    <rPh sb="26" eb="28">
      <t>センタク</t>
    </rPh>
    <rPh sb="33" eb="36">
      <t>シチョウソン</t>
    </rPh>
    <rPh sb="38" eb="40">
      <t>カショ</t>
    </rPh>
    <rPh sb="40" eb="42">
      <t>セッテイ</t>
    </rPh>
    <rPh sb="47" eb="49">
      <t>バアイ</t>
    </rPh>
    <rPh sb="52" eb="55">
      <t>シチョウソン</t>
    </rPh>
    <rPh sb="57" eb="59">
      <t>センタク</t>
    </rPh>
    <phoneticPr fontId="36"/>
  </si>
  <si>
    <t>左記実績の活動場所
(市町村)を選択↓</t>
    <rPh sb="0" eb="2">
      <t>サキ</t>
    </rPh>
    <rPh sb="2" eb="4">
      <t>ジッセキ</t>
    </rPh>
    <rPh sb="5" eb="7">
      <t>カツドウ</t>
    </rPh>
    <rPh sb="7" eb="9">
      <t>バショ</t>
    </rPh>
    <rPh sb="11" eb="14">
      <t>シチョウソン</t>
    </rPh>
    <rPh sb="16" eb="18">
      <t>センタク</t>
    </rPh>
    <phoneticPr fontId="36"/>
  </si>
  <si>
    <t>令和○年○月○日</t>
    <rPh sb="0" eb="2">
      <t>レイワ</t>
    </rPh>
    <rPh sb="3" eb="4">
      <t>ネン</t>
    </rPh>
    <rPh sb="5" eb="6">
      <t>ガツ</t>
    </rPh>
    <rPh sb="7" eb="8">
      <t>ニチ</t>
    </rPh>
    <phoneticPr fontId="36"/>
  </si>
  <si>
    <t>企業の地域社会に対する貢献度</t>
    <phoneticPr fontId="36"/>
  </si>
  <si>
    <t>-</t>
  </si>
  <si>
    <r>
      <t>記　載　事　項</t>
    </r>
    <r>
      <rPr>
        <sz val="9"/>
        <color rgb="FF000000"/>
        <rFont val="ＭＳ 明朝"/>
        <family val="1"/>
        <charset val="128"/>
      </rPr>
      <t>【　記載の仕方　総合評価方式様式関係記載留意事項　§３、４、５　】</t>
    </r>
    <phoneticPr fontId="36"/>
  </si>
  <si>
    <t>第</t>
    <rPh sb="0" eb="1">
      <t>ダイ</t>
    </rPh>
    <phoneticPr fontId="36"/>
  </si>
  <si>
    <t>－</t>
    <phoneticPr fontId="36"/>
  </si>
  <si>
    <t>号</t>
    <rPh sb="0" eb="1">
      <t>ゴウ</t>
    </rPh>
    <phoneticPr fontId="36"/>
  </si>
  <si>
    <t>～</t>
    <phoneticPr fontId="36"/>
  </si>
  <si>
    <t>75点以上80点未満</t>
    <rPh sb="2" eb="3">
      <t>テン</t>
    </rPh>
    <rPh sb="3" eb="5">
      <t>イジョウ</t>
    </rPh>
    <rPh sb="7" eb="8">
      <t>テン</t>
    </rPh>
    <rPh sb="8" eb="10">
      <t>ミマン</t>
    </rPh>
    <phoneticPr fontId="36"/>
  </si>
  <si>
    <t>百万円</t>
    <rPh sb="0" eb="1">
      <t>ヒャク</t>
    </rPh>
    <rPh sb="1" eb="3">
      <t>マンエン</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</si>
  <si>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</si>
  <si>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r>
      <t xml:space="preserve">受賞年度
</t>
    </r>
    <r>
      <rPr>
        <sz val="10"/>
        <color theme="1"/>
        <rFont val="ＭＳ 明朝"/>
        <family val="1"/>
        <charset val="128"/>
      </rPr>
      <t>（対象:過去10年度以内）</t>
    </r>
    <rPh sb="0" eb="2">
      <t>ジュショウ</t>
    </rPh>
    <rPh sb="2" eb="4">
      <t>ネンド</t>
    </rPh>
    <rPh sb="6" eb="8">
      <t>タイショウ</t>
    </rPh>
    <rPh sb="9" eb="11">
      <t>カコ</t>
    </rPh>
    <rPh sb="13" eb="14">
      <t>ネン</t>
    </rPh>
    <rPh sb="14" eb="15">
      <t>ド</t>
    </rPh>
    <rPh sb="15" eb="17">
      <t>イナイ</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</si>
  <si>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</si>
  <si>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工事概要</t>
    <phoneticPr fontId="36"/>
  </si>
  <si>
    <t>工事概要</t>
    <phoneticPr fontId="36"/>
  </si>
  <si>
    <t>工事概要</t>
    <phoneticPr fontId="36"/>
  </si>
  <si>
    <r>
      <t>工事番号　</t>
    </r>
    <r>
      <rPr>
        <sz val="10"/>
        <color rgb="FF000000"/>
        <rFont val="ＭＳ 明朝"/>
        <family val="1"/>
        <charset val="128"/>
      </rPr>
      <t>（半角数字）</t>
    </r>
    <rPh sb="6" eb="8">
      <t>ハンカク</t>
    </rPh>
    <rPh sb="8" eb="10">
      <t>スウジ</t>
    </rPh>
    <phoneticPr fontId="36"/>
  </si>
  <si>
    <t>同一市町村内での工事実績件数</t>
    <rPh sb="0" eb="2">
      <t>ドウイツ</t>
    </rPh>
    <rPh sb="2" eb="5">
      <t>シチョウソン</t>
    </rPh>
    <rPh sb="5" eb="6">
      <t>ナイ</t>
    </rPh>
    <rPh sb="8" eb="10">
      <t>コウジ</t>
    </rPh>
    <rPh sb="10" eb="12">
      <t>ジッセキ</t>
    </rPh>
    <rPh sb="12" eb="14">
      <t>ケンスウ</t>
    </rPh>
    <phoneticPr fontId="36"/>
  </si>
  <si>
    <t>障がい者雇用の有無</t>
    <rPh sb="0" eb="1">
      <t>ショウ</t>
    </rPh>
    <rPh sb="3" eb="4">
      <t>シャ</t>
    </rPh>
    <rPh sb="4" eb="6">
      <t>コヨウ</t>
    </rPh>
    <rPh sb="7" eb="9">
      <t>ウム</t>
    </rPh>
    <phoneticPr fontId="36"/>
  </si>
  <si>
    <t>安全管理に関する表彰の受賞の有無</t>
    <rPh sb="0" eb="2">
      <t>アンゼン</t>
    </rPh>
    <rPh sb="2" eb="4">
      <t>カンリ</t>
    </rPh>
    <rPh sb="5" eb="6">
      <t>カン</t>
    </rPh>
    <rPh sb="8" eb="10">
      <t>ヒョウショウ</t>
    </rPh>
    <rPh sb="11" eb="13">
      <t>ジュショウ</t>
    </rPh>
    <rPh sb="14" eb="16">
      <t>ウム</t>
    </rPh>
    <phoneticPr fontId="36"/>
  </si>
  <si>
    <t>ISO14001の認証取得の有無</t>
    <rPh sb="9" eb="11">
      <t>ニンショウ</t>
    </rPh>
    <rPh sb="11" eb="13">
      <t>シュトク</t>
    </rPh>
    <rPh sb="14" eb="16">
      <t>ウム</t>
    </rPh>
    <phoneticPr fontId="36"/>
  </si>
  <si>
    <t>該当するものを選択</t>
    <rPh sb="0" eb="2">
      <t>ガイトウ</t>
    </rPh>
    <rPh sb="7" eb="9">
      <t>センタク</t>
    </rPh>
    <phoneticPr fontId="36"/>
  </si>
  <si>
    <t>認証の有無</t>
    <rPh sb="0" eb="2">
      <t>ニンショウ</t>
    </rPh>
    <rPh sb="3" eb="5">
      <t>ウム</t>
    </rPh>
    <phoneticPr fontId="36"/>
  </si>
  <si>
    <t>新分野進出の有無</t>
    <rPh sb="0" eb="3">
      <t>シンブンヤ</t>
    </rPh>
    <rPh sb="3" eb="5">
      <t>シンシュツ</t>
    </rPh>
    <rPh sb="6" eb="8">
      <t>ウム</t>
    </rPh>
    <phoneticPr fontId="36"/>
  </si>
  <si>
    <t>ふくしま健康経営優良事業所の認定の有無</t>
    <rPh sb="4" eb="6">
      <t>ケンコウ</t>
    </rPh>
    <rPh sb="6" eb="8">
      <t>ケイエイ</t>
    </rPh>
    <rPh sb="8" eb="10">
      <t>ユウリョウ</t>
    </rPh>
    <rPh sb="10" eb="12">
      <t>ジギョウ</t>
    </rPh>
    <rPh sb="12" eb="13">
      <t>ショ</t>
    </rPh>
    <rPh sb="13" eb="15">
      <t>ニンテイ</t>
    </rPh>
    <rPh sb="17" eb="19">
      <t>ウム</t>
    </rPh>
    <phoneticPr fontId="36"/>
  </si>
  <si>
    <t>【選択】</t>
    <phoneticPr fontId="36"/>
  </si>
  <si>
    <r>
      <t xml:space="preserve">次世代育成支援
</t>
    </r>
    <r>
      <rPr>
        <sz val="8"/>
        <color theme="1"/>
        <rFont val="ＭＳ 明朝"/>
        <family val="1"/>
        <charset val="128"/>
      </rPr>
      <t>（仕事と生活の調和）</t>
    </r>
    <rPh sb="0" eb="3">
      <t>ジセダイ</t>
    </rPh>
    <rPh sb="3" eb="5">
      <t>イクセイ</t>
    </rPh>
    <rPh sb="5" eb="7">
      <t>シエン</t>
    </rPh>
    <rPh sb="9" eb="11">
      <t>シゴト</t>
    </rPh>
    <rPh sb="12" eb="14">
      <t>セイカツ</t>
    </rPh>
    <rPh sb="15" eb="17">
      <t>チョウワ</t>
    </rPh>
    <phoneticPr fontId="36"/>
  </si>
  <si>
    <t>※　確認のための提出書類は、落札候補者となり入札執行権者から連絡があってから指定期日までに提出すること。</t>
    <phoneticPr fontId="36"/>
  </si>
  <si>
    <t>※　配置予定技術者の技術力に記載する実績は、氏名の欄に記載した技術者の実績のみ記載すること。他の技術者の実績は評価対象外とする。</t>
    <rPh sb="2" eb="4">
      <t>ハイチ</t>
    </rPh>
    <rPh sb="4" eb="6">
      <t>ヨテイ</t>
    </rPh>
    <rPh sb="6" eb="9">
      <t>ギジュツシャ</t>
    </rPh>
    <rPh sb="10" eb="13">
      <t>ギジュツリョク</t>
    </rPh>
    <rPh sb="14" eb="16">
      <t>キサイ</t>
    </rPh>
    <rPh sb="18" eb="20">
      <t>ジッセキ</t>
    </rPh>
    <rPh sb="22" eb="24">
      <t>シメイ</t>
    </rPh>
    <rPh sb="25" eb="26">
      <t>ラン</t>
    </rPh>
    <rPh sb="27" eb="29">
      <t>キサイ</t>
    </rPh>
    <rPh sb="31" eb="34">
      <t>ギジュツシャ</t>
    </rPh>
    <rPh sb="35" eb="37">
      <t>ジッセキ</t>
    </rPh>
    <rPh sb="39" eb="41">
      <t>キサイ</t>
    </rPh>
    <rPh sb="46" eb="47">
      <t>ホカ</t>
    </rPh>
    <rPh sb="48" eb="51">
      <t>ギジュツシャ</t>
    </rPh>
    <rPh sb="52" eb="54">
      <t>ジッセキ</t>
    </rPh>
    <rPh sb="55" eb="57">
      <t>ヒョウカ</t>
    </rPh>
    <rPh sb="57" eb="60">
      <t>タイショウガイ</t>
    </rPh>
    <phoneticPr fontId="36"/>
  </si>
  <si>
    <t>(同種･類似工事と判断可能な工種、数量等)</t>
    <phoneticPr fontId="36"/>
  </si>
  <si>
    <t>(同種･類似工事と判断可能な工種、数量等)</t>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</si>
  <si>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</si>
  <si>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</si>
  <si>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</si>
  <si>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</si>
  <si>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</si>
  <si>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t>【選択】</t>
    <phoneticPr fontId="36"/>
  </si>
  <si>
    <t>【選択】</t>
    <phoneticPr fontId="36"/>
  </si>
  <si>
    <t>【自動表示】</t>
    <rPh sb="1" eb="3">
      <t>ジドウ</t>
    </rPh>
    <rPh sb="3" eb="5">
      <t>ヒョウジ</t>
    </rPh>
    <phoneticPr fontId="36"/>
  </si>
  <si>
    <r>
      <t>【下位点】過去1年以内に新卒者又は離職者(</t>
    </r>
    <r>
      <rPr>
        <b/>
        <sz val="10.5"/>
        <rFont val="ＭＳ ゴシック"/>
        <family val="3"/>
        <charset val="128"/>
      </rPr>
      <t>離職の日から1ヶ月以上経過している者に限る。</t>
    </r>
    <r>
      <rPr>
        <sz val="10.5"/>
        <rFont val="ＭＳ 明朝"/>
        <family val="1"/>
        <charset val="128"/>
      </rPr>
      <t>)を１名雇用している場合</t>
    </r>
    <rPh sb="1" eb="4">
      <t>カイテン</t>
    </rPh>
    <rPh sb="5" eb="7">
      <t>カコ</t>
    </rPh>
    <rPh sb="8" eb="9">
      <t>ネン</t>
    </rPh>
    <rPh sb="9" eb="11">
      <t>イナイ</t>
    </rPh>
    <rPh sb="53" eb="55">
      <t>バアイ</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</si>
  <si>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</si>
  <si>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</si>
  <si>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【上位点】直前の5年度間連続して国・県・市町村いずれかの除雪業務と維持補修業務の両方の履行実績がある場合。又は過去5年度以内に福島県道路除雪表彰事業により感謝状を受けた場合。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</si>
  <si>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</si>
  <si>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r>
      <t>【上位点】過去1年以内に新卒者又は離職者(</t>
    </r>
    <r>
      <rPr>
        <b/>
        <sz val="10.5"/>
        <rFont val="ＭＳ ゴシック"/>
        <family val="3"/>
        <charset val="128"/>
      </rPr>
      <t>離職の日から1ヶ月以上経過している者に限る。</t>
    </r>
    <r>
      <rPr>
        <sz val="10.5"/>
        <rFont val="ＭＳ 明朝"/>
        <family val="1"/>
        <charset val="128"/>
      </rPr>
      <t>)を２名雇用の場合。又は被災者等を１名雇用している場合。※活動場所は勤務地市町村を選択する。なお、２名雇用の場合は、どちらか１名の市町村を選択し、残りの１名は落札候補者になってから事後確認する。</t>
    </r>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6"/>
  </si>
  <si>
    <t>若手・女性技術者の配置</t>
    <rPh sb="0" eb="2">
      <t>ワカテ</t>
    </rPh>
    <rPh sb="3" eb="5">
      <t>ジョセイ</t>
    </rPh>
    <rPh sb="5" eb="8">
      <t>ギジュツシャ</t>
    </rPh>
    <rPh sb="9" eb="11">
      <t>ハイチ</t>
    </rPh>
    <phoneticPr fontId="36"/>
  </si>
  <si>
    <r>
      <t>①　企業の技術力及び貢献度（実績・経験等）</t>
    </r>
    <r>
      <rPr>
        <sz val="10"/>
        <rFont val="ＭＳ 明朝"/>
        <family val="1"/>
        <charset val="128"/>
      </rPr>
      <t>（特別簡易型・復旧型・復興型）</t>
    </r>
    <phoneticPr fontId="36"/>
  </si>
  <si>
    <r>
      <t>①　企業の技術力及び貢献度（実績・経験等）</t>
    </r>
    <r>
      <rPr>
        <sz val="10"/>
        <rFont val="ＭＳ 明朝"/>
        <family val="1"/>
        <charset val="128"/>
      </rPr>
      <t>（地域密着型）</t>
    </r>
    <phoneticPr fontId="36"/>
  </si>
  <si>
    <t>□　特別簡易型（復旧型・復興型）</t>
    <phoneticPr fontId="36"/>
  </si>
  <si>
    <t>□　地域密着型</t>
    <phoneticPr fontId="36"/>
  </si>
  <si>
    <t>※　確認のための提出書類は、落札候補者となり入札執行権者から連絡があってから指定期日までに提出すること。</t>
    <phoneticPr fontId="36"/>
  </si>
  <si>
    <t>ISO9001の認証取得
の有無　　　　【選択】</t>
    <rPh sb="8" eb="10">
      <t>ニンショウ</t>
    </rPh>
    <rPh sb="10" eb="12">
      <t>シュトク</t>
    </rPh>
    <rPh sb="14" eb="16">
      <t>ウム</t>
    </rPh>
    <rPh sb="21" eb="23">
      <t>センタク</t>
    </rPh>
    <phoneticPr fontId="36"/>
  </si>
  <si>
    <t>CPD加入(登録)又はポイント
初回取得年月日(1年以上前）</t>
    <rPh sb="3" eb="5">
      <t>カニュウ</t>
    </rPh>
    <rPh sb="6" eb="8">
      <t>トウロク</t>
    </rPh>
    <rPh sb="9" eb="10">
      <t>マタ</t>
    </rPh>
    <rPh sb="16" eb="18">
      <t>ショカイ</t>
    </rPh>
    <rPh sb="18" eb="20">
      <t>シュトク</t>
    </rPh>
    <rPh sb="20" eb="23">
      <t>ネンガッピ</t>
    </rPh>
    <rPh sb="25" eb="26">
      <t>ネン</t>
    </rPh>
    <rPh sb="26" eb="28">
      <t>イジョウ</t>
    </rPh>
    <rPh sb="28" eb="29">
      <t>マエ</t>
    </rPh>
    <phoneticPr fontId="36"/>
  </si>
  <si>
    <t>※　令和3年4月1日以前の竣工検査を受けた工事成績は「被災者雇用による加点」と「工事受注に対する加点」を引いた点数で選択すること。</t>
    <rPh sb="2" eb="4">
      <t>レイワ</t>
    </rPh>
    <rPh sb="5" eb="6">
      <t>ネン</t>
    </rPh>
    <rPh sb="7" eb="8">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</si>
  <si>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配置可能な監理技術者又は主任技術者の人員数が、標準型で9人以上(簡易型で4名以上)の場合に評価する。又は、技術者確保数の人数が確保できない場合、当該工事に配置可能な技能士がいる場合に評価する。</t>
    <rPh sb="0" eb="2">
      <t>ハイチ</t>
    </rPh>
    <rPh sb="2" eb="4">
      <t>カノウ</t>
    </rPh>
    <rPh sb="5" eb="7">
      <t>カンリ</t>
    </rPh>
    <rPh sb="7" eb="10">
      <t>ギジュツシャ</t>
    </rPh>
    <rPh sb="10" eb="11">
      <t>マタ</t>
    </rPh>
    <rPh sb="12" eb="14">
      <t>シュニン</t>
    </rPh>
    <rPh sb="14" eb="17">
      <t>ギジュツシャ</t>
    </rPh>
    <rPh sb="18" eb="20">
      <t>ジンイン</t>
    </rPh>
    <rPh sb="20" eb="21">
      <t>カズ</t>
    </rPh>
    <rPh sb="23" eb="26">
      <t>ヒョウジュンガタ</t>
    </rPh>
    <rPh sb="28" eb="31">
      <t>ニンイジョウ</t>
    </rPh>
    <rPh sb="32" eb="35">
      <t>カンイガタ</t>
    </rPh>
    <rPh sb="37" eb="38">
      <t>メイ</t>
    </rPh>
    <rPh sb="38" eb="40">
      <t>イジョウ</t>
    </rPh>
    <rPh sb="42" eb="44">
      <t>バアイ</t>
    </rPh>
    <rPh sb="45" eb="47">
      <t>ヒョウカ</t>
    </rPh>
    <rPh sb="50" eb="51">
      <t>マタ</t>
    </rPh>
    <rPh sb="53" eb="56">
      <t>ギジュツシャ</t>
    </rPh>
    <rPh sb="56" eb="58">
      <t>カクホ</t>
    </rPh>
    <rPh sb="58" eb="59">
      <t>スウ</t>
    </rPh>
    <rPh sb="60" eb="62">
      <t>ニンズウ</t>
    </rPh>
    <rPh sb="63" eb="65">
      <t>カクホ</t>
    </rPh>
    <rPh sb="69" eb="71">
      <t>バアイ</t>
    </rPh>
    <rPh sb="72" eb="74">
      <t>トウガイ</t>
    </rPh>
    <rPh sb="74" eb="76">
      <t>コウジ</t>
    </rPh>
    <rPh sb="77" eb="79">
      <t>ハイチ</t>
    </rPh>
    <rPh sb="79" eb="81">
      <t>カノウ</t>
    </rPh>
    <rPh sb="82" eb="85">
      <t>ギノウシ</t>
    </rPh>
    <rPh sb="88" eb="90">
      <t>バアイ</t>
    </rPh>
    <rPh sb="91" eb="93">
      <t>ヒョウカ</t>
    </rPh>
    <phoneticPr fontId="36"/>
  </si>
  <si>
    <t>【選択】</t>
    <phoneticPr fontId="36"/>
  </si>
  <si>
    <t>【選択】</t>
    <phoneticPr fontId="36"/>
  </si>
  <si>
    <t>県発注工事において過去１年以内に竣工検査を受けた工事の週休２日確保工事実施証明書がある場合に評価。</t>
    <rPh sb="0" eb="1">
      <t>ケン</t>
    </rPh>
    <rPh sb="1" eb="3">
      <t>ハッチュウ</t>
    </rPh>
    <rPh sb="3" eb="5">
      <t>コウジ</t>
    </rPh>
    <rPh sb="9" eb="11">
      <t>カコ</t>
    </rPh>
    <rPh sb="12" eb="13">
      <t>ネン</t>
    </rPh>
    <rPh sb="13" eb="15">
      <t>イナイ</t>
    </rPh>
    <rPh sb="16" eb="18">
      <t>シュンコウ</t>
    </rPh>
    <rPh sb="18" eb="20">
      <t>ケンサ</t>
    </rPh>
    <rPh sb="21" eb="22">
      <t>ウ</t>
    </rPh>
    <rPh sb="24" eb="26">
      <t>コウジ</t>
    </rPh>
    <rPh sb="27" eb="29">
      <t>シュウキュウ</t>
    </rPh>
    <rPh sb="30" eb="31">
      <t>ニチ</t>
    </rPh>
    <rPh sb="31" eb="33">
      <t>カクホ</t>
    </rPh>
    <rPh sb="33" eb="35">
      <t>コウジ</t>
    </rPh>
    <rPh sb="35" eb="37">
      <t>ジッシ</t>
    </rPh>
    <rPh sb="37" eb="40">
      <t>ショウメイショ</t>
    </rPh>
    <rPh sb="43" eb="45">
      <t>バアイ</t>
    </rPh>
    <rPh sb="46" eb="48">
      <t>ヒョウカ</t>
    </rPh>
    <phoneticPr fontId="36"/>
  </si>
  <si>
    <t>県発注工事において過去１年以内に竣工検査を受けた工事のＩＣＴ活用工事実施証明書がある場合に評価。</t>
    <rPh sb="0" eb="1">
      <t>ケン</t>
    </rPh>
    <rPh sb="1" eb="3">
      <t>ハッチュウ</t>
    </rPh>
    <rPh sb="3" eb="5">
      <t>コウジ</t>
    </rPh>
    <rPh sb="16" eb="18">
      <t>シュンコウ</t>
    </rPh>
    <rPh sb="18" eb="20">
      <t>ケンサ</t>
    </rPh>
    <rPh sb="21" eb="22">
      <t>ウ</t>
    </rPh>
    <rPh sb="32" eb="34">
      <t>コウジ</t>
    </rPh>
    <rPh sb="34" eb="36">
      <t>ジッシ</t>
    </rPh>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</si>
  <si>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</si>
  <si>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6"/>
  </si>
  <si>
    <t>週休２日確保工事</t>
    <rPh sb="0" eb="2">
      <t>シュウキュウ</t>
    </rPh>
    <rPh sb="3" eb="4">
      <t>ニチ</t>
    </rPh>
    <rPh sb="4" eb="6">
      <t>カクホ</t>
    </rPh>
    <rPh sb="6" eb="8">
      <t>コウジ</t>
    </rPh>
    <phoneticPr fontId="36"/>
  </si>
  <si>
    <t>建設キャリアアップシステム</t>
    <rPh sb="0" eb="2">
      <t>ケンセツ</t>
    </rPh>
    <phoneticPr fontId="36"/>
  </si>
  <si>
    <t>配置技術者の工事成績</t>
    <rPh sb="6" eb="8">
      <t>コウジ</t>
    </rPh>
    <rPh sb="8" eb="10">
      <t>セイセキ</t>
    </rPh>
    <phoneticPr fontId="18"/>
  </si>
  <si>
    <t>障がい者雇用の実績</t>
    <rPh sb="0" eb="1">
      <t>ショウ</t>
    </rPh>
    <rPh sb="3" eb="4">
      <t>シャ</t>
    </rPh>
    <rPh sb="4" eb="6">
      <t>コヨウ</t>
    </rPh>
    <rPh sb="7" eb="9">
      <t>ジッセキ</t>
    </rPh>
    <phoneticPr fontId="36"/>
  </si>
  <si>
    <t>工事に関する安全管理</t>
    <rPh sb="0" eb="2">
      <t>コウジ</t>
    </rPh>
    <rPh sb="3" eb="4">
      <t>カン</t>
    </rPh>
    <rPh sb="6" eb="8">
      <t>アンゼン</t>
    </rPh>
    <rPh sb="8" eb="10">
      <t>カンリ</t>
    </rPh>
    <phoneticPr fontId="36"/>
  </si>
  <si>
    <t>健康経営優良事業所</t>
    <rPh sb="0" eb="2">
      <t>ケンコウ</t>
    </rPh>
    <rPh sb="2" eb="4">
      <t>ケイエイ</t>
    </rPh>
    <rPh sb="4" eb="6">
      <t>ユウリョウ</t>
    </rPh>
    <rPh sb="6" eb="9">
      <t>ジギョウショ</t>
    </rPh>
    <phoneticPr fontId="36"/>
  </si>
  <si>
    <t>同一市町村内での公共工事の実績</t>
    <phoneticPr fontId="36"/>
  </si>
  <si>
    <t>入札参加者の所在地</t>
    <phoneticPr fontId="18"/>
  </si>
  <si>
    <t>ボランティア活動への取組状況</t>
    <phoneticPr fontId="18"/>
  </si>
  <si>
    <t>消防団への加入状況</t>
    <phoneticPr fontId="18"/>
  </si>
  <si>
    <t>新卒・離職者の雇用実績</t>
    <rPh sb="3" eb="6">
      <t>リショクシャ</t>
    </rPh>
    <rPh sb="7" eb="9">
      <t>コヨウ</t>
    </rPh>
    <rPh sb="9" eb="11">
      <t>ジッセキ</t>
    </rPh>
    <phoneticPr fontId="18"/>
  </si>
  <si>
    <t>雇用の維持・確保</t>
    <phoneticPr fontId="18"/>
  </si>
  <si>
    <t>除雪・維持補修業務の実績</t>
    <rPh sb="3" eb="5">
      <t>イジ</t>
    </rPh>
    <rPh sb="5" eb="7">
      <t>ホシュウ</t>
    </rPh>
    <rPh sb="7" eb="9">
      <t>ギョウム</t>
    </rPh>
    <rPh sb="10" eb="12">
      <t>ジッセキ</t>
    </rPh>
    <phoneticPr fontId="18"/>
  </si>
  <si>
    <r>
      <t xml:space="preserve">氏　名
</t>
    </r>
    <r>
      <rPr>
        <sz val="8"/>
        <color rgb="FF000000"/>
        <rFont val="ＭＳ 明朝"/>
        <family val="1"/>
        <charset val="128"/>
      </rPr>
      <t>※記名がない場合、配置技術者の全ての項目を評価しない。</t>
    </r>
    <phoneticPr fontId="36"/>
  </si>
  <si>
    <t>2：OK</t>
    <phoneticPr fontId="36"/>
  </si>
  <si>
    <t>男性技術者（40歳未満）又は女性技術者（全て）</t>
    <rPh sb="0" eb="2">
      <t>ダンセイ</t>
    </rPh>
    <rPh sb="2" eb="5">
      <t>ギジュツシャ</t>
    </rPh>
    <rPh sb="8" eb="9">
      <t>サイ</t>
    </rPh>
    <rPh sb="9" eb="11">
      <t>ミマン</t>
    </rPh>
    <rPh sb="12" eb="13">
      <t>マタ</t>
    </rPh>
    <rPh sb="20" eb="21">
      <t>スベ</t>
    </rPh>
    <phoneticPr fontId="36"/>
  </si>
  <si>
    <t>JV出資比率</t>
    <rPh sb="2" eb="4">
      <t>シュッシ</t>
    </rPh>
    <rPh sb="4" eb="6">
      <t>ヒリツ</t>
    </rPh>
    <phoneticPr fontId="36"/>
  </si>
  <si>
    <t>－</t>
    <phoneticPr fontId="36"/>
  </si>
  <si>
    <t>％</t>
    <phoneticPr fontId="36"/>
  </si>
  <si>
    <t>※令和3年4月1日以前の竣工検査の工事成績は要注意</t>
    <rPh sb="1" eb="3">
      <t>レイワ</t>
    </rPh>
    <rPh sb="4" eb="5">
      <t>ネン</t>
    </rPh>
    <rPh sb="6" eb="7">
      <t>ガツ</t>
    </rPh>
    <rPh sb="8" eb="9">
      <t>ニチ</t>
    </rPh>
    <rPh sb="9" eb="11">
      <t>イゼン</t>
    </rPh>
    <rPh sb="12" eb="14">
      <t>シュンコウ</t>
    </rPh>
    <rPh sb="14" eb="16">
      <t>ケンサ</t>
    </rPh>
    <rPh sb="17" eb="19">
      <t>コウジ</t>
    </rPh>
    <rPh sb="19" eb="21">
      <t>セイセキ</t>
    </rPh>
    <rPh sb="22" eb="25">
      <t>ヨウチュウイ</t>
    </rPh>
    <phoneticPr fontId="36"/>
  </si>
  <si>
    <t>株式会社○○○○</t>
    <rPh sb="0" eb="2">
      <t>カブシキ</t>
    </rPh>
    <rPh sb="2" eb="4">
      <t>カイシャ</t>
    </rPh>
    <phoneticPr fontId="36"/>
  </si>
  <si>
    <r>
      <t>工事番号　</t>
    </r>
    <r>
      <rPr>
        <sz val="10"/>
        <rFont val="ＭＳ 明朝"/>
        <family val="1"/>
        <charset val="128"/>
      </rPr>
      <t>（半角数字）</t>
    </r>
    <rPh sb="6" eb="8">
      <t>ハンカク</t>
    </rPh>
    <rPh sb="8" eb="10">
      <t>スウジ</t>
    </rPh>
    <phoneticPr fontId="36"/>
  </si>
  <si>
    <r>
      <t>工期</t>
    </r>
    <r>
      <rPr>
        <sz val="10"/>
        <rFont val="ＭＳ 明朝"/>
        <family val="1"/>
        <charset val="128"/>
      </rPr>
      <t>(対象:過去5年以内)
(入力例:R2.4.1)</t>
    </r>
    <rPh sb="0" eb="2">
      <t>コウキ</t>
    </rPh>
    <rPh sb="3" eb="5">
      <t>タイショウ</t>
    </rPh>
    <rPh sb="6" eb="8">
      <t>カコ</t>
    </rPh>
    <rPh sb="9" eb="10">
      <t>ネン</t>
    </rPh>
    <rPh sb="10" eb="12">
      <t>イナイ</t>
    </rPh>
    <rPh sb="15" eb="18">
      <t>ニュウリョクレイ</t>
    </rPh>
    <phoneticPr fontId="36"/>
  </si>
  <si>
    <r>
      <t xml:space="preserve">工事成績　　　【選択】
</t>
    </r>
    <r>
      <rPr>
        <sz val="10"/>
        <rFont val="ＭＳ 明朝"/>
        <family val="1"/>
        <charset val="128"/>
      </rPr>
      <t>（対象:75点以上）</t>
    </r>
    <rPh sb="0" eb="2">
      <t>コウジ</t>
    </rPh>
    <rPh sb="2" eb="4">
      <t>セイセキ</t>
    </rPh>
    <rPh sb="8" eb="10">
      <t>センタク</t>
    </rPh>
    <rPh sb="13" eb="15">
      <t>タイショウ</t>
    </rPh>
    <rPh sb="18" eb="19">
      <t>テン</t>
    </rPh>
    <rPh sb="19" eb="21">
      <t>イジョウ</t>
    </rPh>
    <phoneticPr fontId="36"/>
  </si>
  <si>
    <r>
      <t xml:space="preserve">配置期間
</t>
    </r>
    <r>
      <rPr>
        <sz val="10"/>
        <rFont val="ＭＳ 明朝"/>
        <family val="1"/>
        <charset val="128"/>
      </rPr>
      <t>(入力例:R2.4.1)</t>
    </r>
    <rPh sb="0" eb="2">
      <t>ハイチ</t>
    </rPh>
    <rPh sb="2" eb="4">
      <t>キカン</t>
    </rPh>
    <phoneticPr fontId="36"/>
  </si>
  <si>
    <r>
      <t xml:space="preserve">工事成績　　　【選択】
</t>
    </r>
    <r>
      <rPr>
        <sz val="10"/>
        <rFont val="ＭＳ 明朝"/>
        <family val="1"/>
        <charset val="128"/>
      </rPr>
      <t>（対象:80点以上）</t>
    </r>
    <rPh sb="0" eb="2">
      <t>コウジ</t>
    </rPh>
    <rPh sb="2" eb="4">
      <t>セイセキ</t>
    </rPh>
    <rPh sb="8" eb="10">
      <t>センタク</t>
    </rPh>
    <phoneticPr fontId="36"/>
  </si>
  <si>
    <r>
      <t xml:space="preserve">若手・女性技術者の配置の有無
</t>
    </r>
    <r>
      <rPr>
        <sz val="8"/>
        <rFont val="ＭＳ 明朝"/>
        <family val="1"/>
        <charset val="128"/>
      </rPr>
      <t>※配置予定技術者の氏名(G22)に記名がない場合、評価しない。</t>
    </r>
    <rPh sb="0" eb="2">
      <t>ワカテ</t>
    </rPh>
    <rPh sb="3" eb="5">
      <t>ジョセイ</t>
    </rPh>
    <rPh sb="5" eb="8">
      <t>ギジュツシャ</t>
    </rPh>
    <rPh sb="9" eb="11">
      <t>ハイチ</t>
    </rPh>
    <rPh sb="12" eb="14">
      <t>ウム</t>
    </rPh>
    <rPh sb="16" eb="18">
      <t>ハイチ</t>
    </rPh>
    <rPh sb="18" eb="20">
      <t>ヨテイ</t>
    </rPh>
    <rPh sb="20" eb="23">
      <t>ギジュツシャ</t>
    </rPh>
    <rPh sb="24" eb="26">
      <t>シメイ</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</si>
  <si>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</si>
  <si>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</si>
  <si>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</si>
  <si>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</si>
  <si>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</si>
  <si>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</si>
  <si>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t>
    <phoneticPr fontId="36"/>
  </si>
  <si>
    <t>○○○○○○○○○○○○工事</t>
    <rPh sb="12" eb="14">
      <t>コウジ</t>
    </rPh>
    <phoneticPr fontId="36"/>
  </si>
  <si>
    <t>項目①</t>
    <rPh sb="0" eb="2">
      <t>コウモク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</si>
  <si>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</si>
  <si>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備考</t>
    <rPh sb="0" eb="2">
      <t>ビコウ</t>
    </rPh>
    <phoneticPr fontId="36"/>
  </si>
  <si>
    <t>項目①：入札参加者の情報を入力</t>
    <rPh sb="0" eb="2">
      <t>コウモク</t>
    </rPh>
    <rPh sb="4" eb="6">
      <t>ニュウサツ</t>
    </rPh>
    <rPh sb="6" eb="9">
      <t>サンカシャ</t>
    </rPh>
    <rPh sb="10" eb="12">
      <t>ジョウホウ</t>
    </rPh>
    <rPh sb="13" eb="15">
      <t>ニュウリョク</t>
    </rPh>
    <phoneticPr fontId="36"/>
  </si>
  <si>
    <t>作成日（技術提案書提出日）</t>
    <rPh sb="0" eb="3">
      <t>サクセイビ</t>
    </rPh>
    <rPh sb="4" eb="6">
      <t>ギジュツ</t>
    </rPh>
    <rPh sb="6" eb="9">
      <t>テイアンショ</t>
    </rPh>
    <rPh sb="9" eb="11">
      <t>テイシュツ</t>
    </rPh>
    <rPh sb="11" eb="12">
      <t>ビ</t>
    </rPh>
    <phoneticPr fontId="36"/>
  </si>
  <si>
    <t>令和○年○月○日</t>
    <rPh sb="0" eb="2">
      <t>レイワ</t>
    </rPh>
    <rPh sb="3" eb="4">
      <t>ネン</t>
    </rPh>
    <rPh sb="5" eb="6">
      <t>ツキ</t>
    </rPh>
    <rPh sb="7" eb="8">
      <t>ニチ</t>
    </rPh>
    <phoneticPr fontId="36"/>
  </si>
  <si>
    <r>
      <rPr>
        <b/>
        <sz val="11"/>
        <color theme="1"/>
        <rFont val="ＭＳ Ｐゴシック"/>
        <family val="3"/>
        <charset val="128"/>
        <scheme val="minor"/>
      </rPr>
      <t>技術提案書の提出月日を入力</t>
    </r>
    <r>
      <rPr>
        <sz val="11"/>
        <color theme="1"/>
        <rFont val="ＭＳ Ｐゴシック"/>
        <family val="3"/>
        <charset val="128"/>
        <scheme val="minor"/>
      </rPr>
      <t>する。
(令和○年○月○日の形式）</t>
    </r>
    <rPh sb="0" eb="2">
      <t>ギジュツ</t>
    </rPh>
    <rPh sb="2" eb="5">
      <t>テイアンショ</t>
    </rPh>
    <rPh sb="6" eb="8">
      <t>テイシュツ</t>
    </rPh>
    <rPh sb="8" eb="10">
      <t>ガッピ</t>
    </rPh>
    <rPh sb="11" eb="13">
      <t>ニュウリョク</t>
    </rPh>
    <phoneticPr fontId="36"/>
  </si>
  <si>
    <t>住所</t>
    <rPh sb="0" eb="2">
      <t>ジュウショ</t>
    </rPh>
    <phoneticPr fontId="36"/>
  </si>
  <si>
    <t>○○市○○町○○番地</t>
    <rPh sb="2" eb="3">
      <t>シ</t>
    </rPh>
    <rPh sb="5" eb="6">
      <t>マチ</t>
    </rPh>
    <rPh sb="8" eb="9">
      <t>バン</t>
    </rPh>
    <rPh sb="9" eb="10">
      <t>チ</t>
    </rPh>
    <phoneticPr fontId="36"/>
  </si>
  <si>
    <t>JVの場合、代表構成員について記載</t>
    <rPh sb="3" eb="5">
      <t>バアイ</t>
    </rPh>
    <rPh sb="6" eb="8">
      <t>ダイヒョウ</t>
    </rPh>
    <rPh sb="8" eb="11">
      <t>コウセイイン</t>
    </rPh>
    <rPh sb="15" eb="17">
      <t>キサイ</t>
    </rPh>
    <phoneticPr fontId="36"/>
  </si>
  <si>
    <t>商号又は名称</t>
    <rPh sb="0" eb="2">
      <t>ショウゴウ</t>
    </rPh>
    <rPh sb="2" eb="3">
      <t>マタ</t>
    </rPh>
    <rPh sb="4" eb="6">
      <t>メイショウ</t>
    </rPh>
    <phoneticPr fontId="36"/>
  </si>
  <si>
    <t>同上</t>
    <rPh sb="0" eb="2">
      <t>ドウジョウ</t>
    </rPh>
    <phoneticPr fontId="36"/>
  </si>
  <si>
    <t>代表者氏名</t>
    <rPh sb="0" eb="3">
      <t>ダイヒョウシャ</t>
    </rPh>
    <rPh sb="3" eb="5">
      <t>シメイ</t>
    </rPh>
    <phoneticPr fontId="36"/>
  </si>
  <si>
    <t>代表取締役　○○○○</t>
    <rPh sb="0" eb="2">
      <t>ダイヒョウ</t>
    </rPh>
    <rPh sb="2" eb="5">
      <t>トリシマリヤク</t>
    </rPh>
    <phoneticPr fontId="36"/>
  </si>
  <si>
    <t>電話番号</t>
    <rPh sb="0" eb="2">
      <t>デンワ</t>
    </rPh>
    <rPh sb="2" eb="4">
      <t>バンゴウ</t>
    </rPh>
    <phoneticPr fontId="36"/>
  </si>
  <si>
    <t>000-000-0000</t>
    <phoneticPr fontId="36"/>
  </si>
  <si>
    <t>作成担当者氏名</t>
    <rPh sb="0" eb="2">
      <t>サクセイ</t>
    </rPh>
    <rPh sb="2" eb="5">
      <t>タントウシャ</t>
    </rPh>
    <rPh sb="5" eb="7">
      <t>シメイ</t>
    </rPh>
    <phoneticPr fontId="36"/>
  </si>
  <si>
    <t>○○○○</t>
    <phoneticPr fontId="36"/>
  </si>
  <si>
    <t>特定建設共同企業体名称</t>
    <rPh sb="0" eb="2">
      <t>トクテイ</t>
    </rPh>
    <rPh sb="2" eb="4">
      <t>ケンセツ</t>
    </rPh>
    <rPh sb="4" eb="6">
      <t>キョウドウ</t>
    </rPh>
    <rPh sb="6" eb="9">
      <t>キギョウタイ</t>
    </rPh>
    <rPh sb="9" eb="11">
      <t>メイショウ</t>
    </rPh>
    <phoneticPr fontId="36"/>
  </si>
  <si>
    <t>○○・△△特定建設共同企業体</t>
    <rPh sb="5" eb="7">
      <t>トクテイ</t>
    </rPh>
    <rPh sb="7" eb="9">
      <t>ケンセツ</t>
    </rPh>
    <rPh sb="9" eb="11">
      <t>キョウドウ</t>
    </rPh>
    <rPh sb="11" eb="14">
      <t>キギョウタイ</t>
    </rPh>
    <phoneticPr fontId="36"/>
  </si>
  <si>
    <t>JV以外の場合、左記を削除する。</t>
    <rPh sb="2" eb="4">
      <t>イガイ</t>
    </rPh>
    <rPh sb="5" eb="7">
      <t>バアイ</t>
    </rPh>
    <rPh sb="8" eb="10">
      <t>サキ</t>
    </rPh>
    <rPh sb="11" eb="13">
      <t>サクジョ</t>
    </rPh>
    <phoneticPr fontId="36"/>
  </si>
  <si>
    <t>＜基本データ＞　※黄色セルに入力。</t>
    <rPh sb="9" eb="11">
      <t>キイロ</t>
    </rPh>
    <rPh sb="14" eb="16">
      <t>ニュウリョク</t>
    </rPh>
    <phoneticPr fontId="18"/>
  </si>
  <si>
    <t>提出は、様式第１号及び様式第６～８号をPDF形式で提出又はexcel様式をそのまま提出。このシートは提出不要。</t>
  </si>
  <si>
    <t>自動計算。
（「品質確保等の確実性」(7点)を含まない。）</t>
    <rPh sb="2" eb="4">
      <t>ケイサン</t>
    </rPh>
    <rPh sb="20" eb="21">
      <t>テン</t>
    </rPh>
    <phoneticPr fontId="36"/>
  </si>
  <si>
    <t>項目②</t>
    <rPh sb="0" eb="2">
      <t>コウモク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</si>
  <si>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</si>
  <si>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r>
      <rPr>
        <b/>
        <sz val="11"/>
        <color rgb="FF000000"/>
        <rFont val="ＭＳ Ｐゴシック"/>
        <family val="3"/>
        <charset val="128"/>
        <scheme val="minor"/>
      </rPr>
      <t>入札公告の公告日を入力</t>
    </r>
    <r>
      <rPr>
        <sz val="11"/>
        <color rgb="FF000000"/>
        <rFont val="ＭＳ Ｐゴシック"/>
        <family val="3"/>
        <charset val="128"/>
        <scheme val="minor"/>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</si>
  <si>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</si>
  <si>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</si>
  <si>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</si>
  <si>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t>
    <phoneticPr fontId="36"/>
  </si>
  <si>
    <t>15年以内</t>
    <rPh sb="2" eb="3">
      <t>ネン</t>
    </rPh>
    <rPh sb="3" eb="5">
      <t>イナイ</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</si>
  <si>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</si>
  <si>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</si>
  <si>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r>
      <t>工期</t>
    </r>
    <r>
      <rPr>
        <sz val="10"/>
        <rFont val="ＭＳ 明朝"/>
        <family val="1"/>
        <charset val="128"/>
      </rPr>
      <t>(対象:過去10年以内)
(入力例:R3.5.1～R4.3.31)</t>
    </r>
    <rPh sb="0" eb="2">
      <t>コウキ</t>
    </rPh>
    <rPh sb="3" eb="5">
      <t>タイショウ</t>
    </rPh>
    <rPh sb="6" eb="8">
      <t>カコ</t>
    </rPh>
    <rPh sb="10" eb="11">
      <t>ネン</t>
    </rPh>
    <rPh sb="11" eb="13">
      <t>イナイ</t>
    </rPh>
    <phoneticPr fontId="36"/>
  </si>
  <si>
    <t>標準型：9名以上　(簡易型：4名以上)</t>
    <rPh sb="0" eb="3">
      <t>ヒョウジュンガタ</t>
    </rPh>
    <rPh sb="5" eb="6">
      <t>メイ</t>
    </rPh>
    <rPh sb="6" eb="8">
      <t>イジョウ</t>
    </rPh>
    <rPh sb="10" eb="13">
      <t>カンイガタ</t>
    </rPh>
    <rPh sb="15" eb="16">
      <t>メイ</t>
    </rPh>
    <rPh sb="16" eb="18">
      <t>イジョウ</t>
    </rPh>
    <phoneticPr fontId="36"/>
  </si>
  <si>
    <r>
      <t>○様式第１号に記載された「商号」「住所」等の詳細について選択する。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t>
    </r>
    <r>
      <rPr>
        <u/>
        <sz val="10.5"/>
        <color rgb="FFFF0000"/>
        <rFont val="ＭＳ 明朝"/>
        <family val="1"/>
        <charset val="128"/>
      </rPr>
      <t>建設業法許可を受けて３年を経過する支店・営業所</t>
    </r>
    <r>
      <rPr>
        <sz val="10.5"/>
        <rFont val="ＭＳ 明朝"/>
        <family val="1"/>
        <charset val="128"/>
      </rPr>
      <t xml:space="preserve">が入札参加者よりも工事箇所に近い評価対象区域へある場合に選択。
</t>
    </r>
    <rPh sb="28" eb="30">
      <t>センタク</t>
    </rPh>
    <rPh sb="46" eb="49">
      <t>ジムショ</t>
    </rPh>
    <rPh sb="60" eb="61">
      <t>クニ</t>
    </rPh>
    <rPh sb="62" eb="63">
      <t>ケン</t>
    </rPh>
    <rPh sb="64" eb="67">
      <t>シチョウソン</t>
    </rPh>
    <rPh sb="170" eb="172">
      <t>センタク</t>
    </rPh>
    <phoneticPr fontId="36"/>
  </si>
  <si>
    <t>2：本店</t>
    <rPh sb="2" eb="4">
      <t>ホンテン</t>
    </rPh>
    <phoneticPr fontId="36"/>
  </si>
  <si>
    <t>1：準本店</t>
    <rPh sb="2" eb="3">
      <t>ジュン</t>
    </rPh>
    <rPh sb="3" eb="5">
      <t>ホンテン</t>
    </rPh>
    <phoneticPr fontId="36"/>
  </si>
  <si>
    <r>
      <rPr>
        <u/>
        <sz val="9"/>
        <color rgb="FFFF0000"/>
        <rFont val="HGSｺﾞｼｯｸE"/>
        <family val="3"/>
        <charset val="128"/>
      </rPr>
      <t>（注１）</t>
    </r>
    <r>
      <rPr>
        <u/>
        <sz val="9"/>
        <color rgb="FFFF0000"/>
        <rFont val="ＭＳ 明朝"/>
        <family val="1"/>
        <charset val="128"/>
      </rPr>
      <t>発注種別が建築工事、電気設備工事、暖冷房衛生設備工事の場合、評価対象期間は過去15年以内となります。</t>
    </r>
    <rPh sb="1" eb="2">
      <t>チュウ</t>
    </rPh>
    <rPh sb="11" eb="13">
      <t>コウジ</t>
    </rPh>
    <rPh sb="18" eb="20">
      <t>コウジ</t>
    </rPh>
    <rPh sb="28" eb="30">
      <t>コウジ</t>
    </rPh>
    <rPh sb="36" eb="38">
      <t>タイショウ</t>
    </rPh>
    <phoneticPr fontId="36"/>
  </si>
  <si>
    <r>
      <t xml:space="preserve">企業の施工能力
（同種・類似工事の施工実績）
</t>
    </r>
    <r>
      <rPr>
        <u/>
        <sz val="10.5"/>
        <color rgb="FFFF0000"/>
        <rFont val="HGSｺﾞｼｯｸE"/>
        <family val="3"/>
        <charset val="128"/>
      </rPr>
      <t>（注１）</t>
    </r>
    <phoneticPr fontId="18"/>
  </si>
  <si>
    <r>
      <t xml:space="preserve">配置技術者の施工能力
（同種・類似工事の施工実績）
</t>
    </r>
    <r>
      <rPr>
        <u/>
        <sz val="10.5"/>
        <color rgb="FFFF0000"/>
        <rFont val="HGSｺﾞｼｯｸE"/>
        <family val="3"/>
        <charset val="128"/>
      </rPr>
      <t>（注１）</t>
    </r>
    <phoneticPr fontId="36"/>
  </si>
  <si>
    <t>（標準型）</t>
    <rPh sb="1" eb="3">
      <t>ヒョウジュン</t>
    </rPh>
    <rPh sb="3" eb="4">
      <t>ガタ</t>
    </rPh>
    <phoneticPr fontId="36"/>
  </si>
  <si>
    <t>□　簡易型</t>
    <phoneticPr fontId="36"/>
  </si>
  <si>
    <t>■　標準型</t>
    <phoneticPr fontId="36"/>
  </si>
  <si>
    <t>入札公告や総合評価点評価基準に記載の発注種別を選択する。</t>
    <rPh sb="0" eb="2">
      <t>ニュウサツ</t>
    </rPh>
    <rPh sb="2" eb="4">
      <t>コウコク</t>
    </rPh>
    <rPh sb="15" eb="17">
      <t>キサイ</t>
    </rPh>
    <rPh sb="18" eb="20">
      <t>ハッチュウ</t>
    </rPh>
    <rPh sb="20" eb="22">
      <t>シュベツ</t>
    </rPh>
    <rPh sb="23" eb="25">
      <t>センタク</t>
    </rPh>
    <phoneticPr fontId="36"/>
  </si>
  <si>
    <t>（様式第１１号－１）</t>
    <rPh sb="6" eb="7">
      <t>ゴウ</t>
    </rPh>
    <phoneticPr fontId="36"/>
  </si>
  <si>
    <t>（様式第１１号－２）</t>
    <rPh sb="6" eb="7">
      <t>ゴウ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</si>
</sst>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quot;年&quot;"/>
    <numFmt numFmtId="183" formatCode="0_);[Red]\(0\)"/>
    <numFmt numFmtId="184" formatCode="[$-411]ge\.m\.d;@"/>
  </numFmts>
  <fonts count="73"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rgb="FF000000"/>
      <name val="ＭＳ 明朝"/>
      <family val="1"/>
      <charset val="128"/>
    </font>
    <font>
      <sz val="11"/>
      <color theme="1"/>
      <name val="ＭＳ 明朝"/>
      <family val="1"/>
      <charset val="128"/>
    </font>
    <font>
      <sz val="8"/>
      <color theme="1"/>
      <name val="ＭＳ 明朝"/>
      <family val="1"/>
      <charset val="128"/>
    </font>
    <font>
      <sz val="12"/>
      <color rgb="FF000000"/>
      <name val="ＭＳ Ｐゴシック"/>
      <family val="3"/>
      <charset val="128"/>
      <scheme val="minor"/>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b/>
      <sz val="8"/>
      <name val="ＭＳ 明朝"/>
      <family val="1"/>
      <charset val="128"/>
    </font>
    <font>
      <sz val="8"/>
      <name val="ＭＳ Ｐゴシック"/>
      <family val="3"/>
      <charset val="128"/>
    </font>
    <font>
      <sz val="11"/>
      <color rgb="FF000000"/>
      <name val="ＭＳ 明朝"/>
      <family val="1"/>
      <charset val="128"/>
    </font>
    <font>
      <sz val="7"/>
      <color rgb="FF000000"/>
      <name val="ＭＳ 明朝"/>
      <family val="1"/>
      <charset val="128"/>
    </font>
    <font>
      <sz val="11"/>
      <color theme="1"/>
      <name val="ＭＳ Ｐゴシック"/>
      <family val="3"/>
      <charset val="128"/>
    </font>
    <font>
      <b/>
      <sz val="12"/>
      <color rgb="FFFF0000"/>
      <name val="ＭＳ Ｐゴシック"/>
      <family val="3"/>
      <charset val="128"/>
    </font>
    <font>
      <sz val="14"/>
      <color rgb="FF000000"/>
      <name val="ＭＳ ゴシック"/>
      <family val="3"/>
      <charset val="128"/>
    </font>
    <font>
      <b/>
      <sz val="9"/>
      <color theme="1"/>
      <name val="ＭＳ Ｐゴシック"/>
      <family val="3"/>
      <charset val="128"/>
    </font>
    <font>
      <u/>
      <sz val="9"/>
      <color rgb="FFFF0000"/>
      <name val="ＭＳ 明朝"/>
      <family val="1"/>
      <charset val="128"/>
    </font>
    <font>
      <sz val="9"/>
      <name val="ＭＳ 明朝"/>
      <family val="1"/>
      <charset val="128"/>
    </font>
    <font>
      <sz val="10"/>
      <color theme="1"/>
      <name val="ＭＳ 明朝"/>
      <family val="1"/>
      <charset val="128"/>
    </font>
    <font>
      <sz val="10"/>
      <name val="ＭＳ 明朝"/>
      <family val="1"/>
      <charset val="128"/>
    </font>
    <font>
      <b/>
      <sz val="9"/>
      <name val="ＭＳ Ｐゴシック"/>
      <family val="3"/>
      <charset val="128"/>
    </font>
    <font>
      <b/>
      <sz val="10.5"/>
      <name val="ＭＳ ゴシック"/>
      <family val="3"/>
      <charset val="128"/>
    </font>
    <font>
      <b/>
      <sz val="16"/>
      <color theme="1"/>
      <name val="ＭＳ Ｐゴシック"/>
      <family val="3"/>
      <charset val="128"/>
      <scheme val="minor"/>
    </font>
    <font>
      <sz val="7"/>
      <name val="ＭＳ 明朝"/>
      <family val="1"/>
      <charset val="128"/>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font>
    <font>
      <b/>
      <sz val="11"/>
      <color theme="1"/>
      <name val="ＭＳ Ｐゴシック"/>
      <family val="3"/>
      <charset val="128"/>
      <scheme val="minor"/>
    </font>
    <font>
      <b/>
      <sz val="11"/>
      <color rgb="FF000000"/>
      <name val="ＭＳ Ｐゴシック"/>
      <family val="3"/>
      <charset val="128"/>
      <scheme val="minor"/>
    </font>
    <font>
      <sz val="11"/>
      <name val="ＭＳ 明朝"/>
      <family val="1"/>
      <charset val="128"/>
    </font>
    <font>
      <u/>
      <sz val="10.5"/>
      <color rgb="FFFF0000"/>
      <name val="ＭＳ 明朝"/>
      <family val="1"/>
      <charset val="128"/>
    </font>
    <font>
      <sz val="11"/>
      <color theme="0"/>
      <name val="ＭＳ Ｐゴシック"/>
      <family val="3"/>
      <charset val="128"/>
      <scheme val="minor"/>
    </font>
    <font>
      <u/>
      <sz val="9"/>
      <color rgb="FFFF0000"/>
      <name val="HGSｺﾞｼｯｸE"/>
      <family val="3"/>
      <charset val="128"/>
    </font>
    <font>
      <u/>
      <sz val="10.5"/>
      <color rgb="FFFF0000"/>
      <name val="HGSｺﾞｼｯｸE"/>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auto="1"/>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0">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4" fillId="0" borderId="10" xfId="0" applyFont="1" applyFill="1" applyBorder="1" applyAlignment="1" applyProtection="1">
      <alignment horizontal="center" vertical="center" wrapText="1"/>
    </xf>
    <xf numFmtId="0" fontId="30" fillId="0" borderId="12"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54" fillId="0" borderId="18" xfId="0" applyFont="1" applyFill="1" applyBorder="1" applyAlignment="1" applyProtection="1">
      <alignment horizontal="center" vertical="center" wrapText="1"/>
    </xf>
    <xf numFmtId="0" fontId="30" fillId="0" borderId="10" xfId="0" applyFont="1" applyFill="1" applyBorder="1" applyAlignment="1" applyProtection="1">
      <alignment vertical="center"/>
    </xf>
    <xf numFmtId="0" fontId="57" fillId="0" borderId="21" xfId="0" applyFont="1" applyFill="1" applyBorder="1" applyAlignment="1" applyProtection="1">
      <alignment horizontal="left" vertical="center" wrapTex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19" fillId="0" borderId="0" xfId="0" applyFo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53" fillId="0" borderId="0" xfId="0" applyFont="1" applyBorder="1" applyAlignment="1" applyProtection="1">
      <alignment horizontal="right" vertical="center"/>
    </xf>
    <xf numFmtId="0" fontId="29" fillId="0" borderId="23" xfId="0" applyFont="1" applyBorder="1" applyAlignment="1" applyProtection="1">
      <alignment vertical="center"/>
    </xf>
    <xf numFmtId="0" fontId="43" fillId="0" borderId="10" xfId="0" applyFont="1" applyFill="1" applyBorder="1" applyAlignment="1" applyProtection="1">
      <alignment horizontal="center" vertical="center" wrapTex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wrapText="1"/>
    </xf>
    <xf numFmtId="0" fontId="19" fillId="0" borderId="10" xfId="0" applyFont="1" applyBorder="1" applyProtection="1">
      <alignment vertical="center"/>
    </xf>
    <xf numFmtId="0" fontId="19" fillId="0" borderId="64" xfId="0" applyFont="1" applyBorder="1" applyProtection="1">
      <alignment vertical="center"/>
    </xf>
    <xf numFmtId="0" fontId="19" fillId="0" borderId="28" xfId="0" applyFont="1" applyBorder="1" applyProtection="1">
      <alignment vertical="center"/>
    </xf>
    <xf numFmtId="0" fontId="19" fillId="0" borderId="0" xfId="0" applyFont="1" applyAlignment="1" applyProtection="1">
      <alignment horizontal="center" vertical="center"/>
    </xf>
    <xf numFmtId="0" fontId="19" fillId="0" borderId="0" xfId="0" applyFont="1" applyBorder="1" applyProtection="1">
      <alignment vertical="center"/>
    </xf>
    <xf numFmtId="0" fontId="43" fillId="0" borderId="0" xfId="0" applyFont="1" applyFill="1" applyBorder="1" applyAlignment="1" applyProtection="1">
      <alignment horizontal="left" vertical="top" wrapText="1"/>
    </xf>
    <xf numFmtId="0" fontId="45" fillId="0" borderId="22" xfId="0" applyFont="1" applyFill="1" applyBorder="1" applyAlignment="1" applyProtection="1">
      <alignment horizontal="center" vertical="center" wrapText="1"/>
    </xf>
    <xf numFmtId="176" fontId="19" fillId="0" borderId="10" xfId="0" applyNumberFormat="1" applyFont="1" applyBorder="1" applyProtection="1">
      <alignment vertical="center"/>
    </xf>
    <xf numFmtId="176" fontId="45" fillId="0" borderId="10" xfId="0" applyNumberFormat="1" applyFont="1" applyFill="1" applyBorder="1" applyAlignment="1" applyProtection="1">
      <alignment horizontal="right" vertical="center" wrapText="1"/>
    </xf>
    <xf numFmtId="177" fontId="45" fillId="0" borderId="46" xfId="0" applyNumberFormat="1" applyFont="1" applyFill="1" applyBorder="1" applyAlignment="1" applyProtection="1">
      <alignment horizontal="right" vertical="center" wrapText="1"/>
    </xf>
    <xf numFmtId="0" fontId="23" fillId="0" borderId="12" xfId="0" applyFont="1" applyFill="1" applyBorder="1" applyAlignment="1" applyProtection="1">
      <alignment vertical="center" wrapText="1"/>
    </xf>
    <xf numFmtId="0" fontId="19" fillId="0" borderId="14" xfId="0" applyFont="1" applyBorder="1" applyProtection="1">
      <alignment vertical="center"/>
    </xf>
    <xf numFmtId="0" fontId="45" fillId="0" borderId="0" xfId="0" applyFont="1" applyFill="1" applyBorder="1" applyAlignment="1" applyProtection="1">
      <alignment horizontal="center" vertical="center" wrapText="1"/>
    </xf>
    <xf numFmtId="176" fontId="19" fillId="0" borderId="0" xfId="0" applyNumberFormat="1" applyFont="1" applyBorder="1" applyProtection="1">
      <alignment vertical="center"/>
    </xf>
    <xf numFmtId="176" fontId="45" fillId="0" borderId="0" xfId="0" applyNumberFormat="1" applyFont="1" applyFill="1" applyBorder="1" applyAlignment="1" applyProtection="1">
      <alignment horizontal="right" vertical="center" wrapText="1"/>
    </xf>
    <xf numFmtId="177" fontId="45" fillId="0" borderId="0" xfId="0" applyNumberFormat="1" applyFont="1" applyFill="1" applyBorder="1" applyAlignment="1" applyProtection="1">
      <alignment horizontal="right" vertical="center" wrapText="1"/>
    </xf>
    <xf numFmtId="0" fontId="30" fillId="0" borderId="12" xfId="0" applyFont="1" applyFill="1" applyBorder="1" applyAlignment="1" applyProtection="1">
      <alignment horizontal="left" vertical="center" wrapText="1"/>
    </xf>
    <xf numFmtId="0" fontId="19" fillId="0" borderId="25" xfId="0" applyFont="1" applyBorder="1" applyProtection="1">
      <alignment vertical="center"/>
    </xf>
    <xf numFmtId="0" fontId="30" fillId="0" borderId="24" xfId="0" applyFont="1" applyFill="1" applyBorder="1" applyAlignment="1" applyProtection="1">
      <alignment vertical="center" wrapText="1"/>
    </xf>
    <xf numFmtId="177" fontId="0" fillId="0" borderId="0" xfId="0" applyNumberFormat="1" applyBorder="1" applyAlignment="1" applyProtection="1">
      <alignment vertical="center"/>
    </xf>
    <xf numFmtId="0" fontId="0" fillId="0" borderId="21" xfId="0" applyBorder="1" applyAlignment="1" applyProtection="1">
      <alignment horizontal="left" vertical="center" shrinkToFit="1"/>
    </xf>
    <xf numFmtId="176" fontId="19" fillId="0" borderId="21" xfId="0" applyNumberFormat="1" applyFont="1" applyBorder="1" applyProtection="1">
      <alignment vertical="center"/>
    </xf>
    <xf numFmtId="0" fontId="0" fillId="0" borderId="0" xfId="0" applyBorder="1" applyAlignment="1" applyProtection="1">
      <alignment horizontal="left" vertical="center" shrinkToFit="1"/>
    </xf>
    <xf numFmtId="0" fontId="19" fillId="0" borderId="21" xfId="0" applyFont="1" applyBorder="1" applyProtection="1">
      <alignment vertical="center"/>
    </xf>
    <xf numFmtId="0" fontId="44" fillId="0" borderId="0" xfId="0" applyFont="1" applyFill="1" applyBorder="1" applyAlignment="1" applyProtection="1">
      <alignment vertical="center" wrapText="1"/>
    </xf>
    <xf numFmtId="177" fontId="19" fillId="0" borderId="10" xfId="0" applyNumberFormat="1" applyFont="1" applyBorder="1" applyProtection="1">
      <alignment vertical="center"/>
    </xf>
    <xf numFmtId="0" fontId="44" fillId="0" borderId="25" xfId="0" applyFont="1" applyFill="1" applyBorder="1" applyAlignment="1" applyProtection="1">
      <alignment vertical="center" wrapText="1"/>
    </xf>
    <xf numFmtId="176" fontId="46" fillId="0" borderId="57" xfId="0" applyNumberFormat="1" applyFont="1" applyFill="1" applyBorder="1" applyAlignment="1" applyProtection="1">
      <alignment horizontal="right" vertical="center" wrapText="1"/>
    </xf>
    <xf numFmtId="0" fontId="19" fillId="0" borderId="18" xfId="0" applyFont="1" applyBorder="1" applyProtection="1">
      <alignment vertical="center"/>
    </xf>
    <xf numFmtId="177" fontId="19" fillId="0" borderId="18" xfId="0" applyNumberFormat="1" applyFont="1" applyBorder="1" applyProtection="1">
      <alignment vertical="center"/>
    </xf>
    <xf numFmtId="176" fontId="46" fillId="0" borderId="45" xfId="0" applyNumberFormat="1" applyFont="1" applyFill="1" applyBorder="1" applyAlignment="1" applyProtection="1">
      <alignment horizontal="right" vertical="center" wrapText="1"/>
    </xf>
    <xf numFmtId="181" fontId="19" fillId="0" borderId="25" xfId="0" applyNumberFormat="1" applyFont="1" applyBorder="1" applyProtection="1">
      <alignment vertical="center"/>
    </xf>
    <xf numFmtId="177" fontId="46" fillId="0" borderId="48" xfId="0" applyNumberFormat="1" applyFont="1" applyFill="1" applyBorder="1" applyAlignment="1" applyProtection="1">
      <alignment horizontal="right" vertical="center" wrapText="1"/>
    </xf>
    <xf numFmtId="181" fontId="19" fillId="0" borderId="0" xfId="0" applyNumberFormat="1" applyFont="1" applyBorder="1" applyAlignment="1" applyProtection="1">
      <alignment horizontal="right" vertical="center"/>
    </xf>
    <xf numFmtId="177" fontId="19" fillId="0" borderId="0" xfId="0" applyNumberFormat="1" applyFont="1" applyBorder="1" applyAlignment="1" applyProtection="1">
      <alignment horizontal="right" vertical="center"/>
    </xf>
    <xf numFmtId="177" fontId="46" fillId="0" borderId="60" xfId="0" applyNumberFormat="1" applyFont="1" applyFill="1" applyBorder="1" applyAlignment="1" applyProtection="1">
      <alignment horizontal="right" vertical="center" wrapText="1"/>
    </xf>
    <xf numFmtId="0" fontId="49" fillId="0" borderId="20" xfId="0" applyFont="1" applyFill="1" applyBorder="1" applyAlignment="1" applyProtection="1">
      <alignment horizontal="center" vertical="center" wrapText="1"/>
    </xf>
    <xf numFmtId="0" fontId="19" fillId="0" borderId="11" xfId="0" applyFont="1" applyBorder="1" applyProtection="1">
      <alignment vertical="center"/>
    </xf>
    <xf numFmtId="0" fontId="49" fillId="0" borderId="10" xfId="0" applyFont="1" applyFill="1" applyBorder="1" applyAlignment="1" applyProtection="1">
      <alignment vertical="center" wrapText="1"/>
    </xf>
    <xf numFmtId="177" fontId="0" fillId="0" borderId="46" xfId="0" applyNumberFormat="1" applyFont="1" applyFill="1" applyBorder="1" applyAlignment="1" applyProtection="1">
      <alignment horizontal="right" vertical="center" wrapText="1"/>
    </xf>
    <xf numFmtId="0" fontId="19" fillId="0" borderId="70" xfId="0" applyFont="1" applyBorder="1" applyAlignment="1" applyProtection="1">
      <alignment vertical="center" wrapText="1"/>
    </xf>
    <xf numFmtId="0" fontId="19" fillId="0" borderId="69" xfId="0" applyFont="1" applyBorder="1" applyProtection="1">
      <alignment vertical="center"/>
    </xf>
    <xf numFmtId="0" fontId="49" fillId="0" borderId="21" xfId="0" applyFont="1" applyFill="1" applyBorder="1" applyAlignment="1" applyProtection="1">
      <alignment vertical="center" wrapText="1"/>
    </xf>
    <xf numFmtId="0" fontId="19" fillId="0" borderId="16" xfId="0" applyFont="1" applyBorder="1" applyProtection="1">
      <alignment vertical="center"/>
    </xf>
    <xf numFmtId="0" fontId="49" fillId="0" borderId="0" xfId="0" applyFont="1" applyFill="1" applyBorder="1" applyAlignment="1" applyProtection="1">
      <alignment vertical="center" wrapText="1"/>
    </xf>
    <xf numFmtId="0" fontId="30" fillId="0" borderId="0" xfId="0" applyFont="1" applyProtection="1">
      <alignment vertical="center"/>
    </xf>
    <xf numFmtId="0" fontId="25" fillId="0" borderId="0" xfId="0" applyFont="1" applyFill="1" applyBorder="1" applyAlignment="1" applyProtection="1">
      <alignment horizontal="left" vertical="top" wrapText="1"/>
    </xf>
    <xf numFmtId="177" fontId="19" fillId="0" borderId="0" xfId="0" applyNumberFormat="1" applyFont="1" applyBorder="1" applyProtection="1">
      <alignment vertical="center"/>
    </xf>
    <xf numFmtId="177" fontId="46" fillId="0" borderId="0" xfId="0" applyNumberFormat="1" applyFont="1" applyFill="1" applyBorder="1" applyAlignment="1" applyProtection="1">
      <alignment horizontal="right" vertical="center" wrapText="1"/>
    </xf>
    <xf numFmtId="0" fontId="49" fillId="0" borderId="0" xfId="0" applyFont="1" applyFill="1" applyBorder="1" applyAlignment="1" applyProtection="1">
      <alignment horizontal="center" vertical="center" wrapText="1"/>
    </xf>
    <xf numFmtId="0" fontId="19" fillId="0" borderId="56" xfId="0" applyFont="1" applyBorder="1" applyProtection="1">
      <alignment vertical="center"/>
    </xf>
    <xf numFmtId="0" fontId="51" fillId="0" borderId="0" xfId="0" applyFont="1" applyBorder="1" applyProtection="1">
      <alignment vertical="center"/>
    </xf>
    <xf numFmtId="176" fontId="46" fillId="0" borderId="0" xfId="0" applyNumberFormat="1" applyFont="1" applyFill="1" applyBorder="1" applyAlignment="1" applyProtection="1">
      <alignment horizontal="right" vertical="center" wrapText="1"/>
    </xf>
    <xf numFmtId="0" fontId="46" fillId="0" borderId="0" xfId="0" applyFont="1" applyBorder="1" applyAlignment="1" applyProtection="1">
      <alignment vertical="center"/>
    </xf>
    <xf numFmtId="0" fontId="0" fillId="0" borderId="0" xfId="0" applyBorder="1" applyAlignment="1" applyProtection="1">
      <alignment horizontal="right" vertical="center"/>
    </xf>
    <xf numFmtId="0" fontId="0" fillId="0" borderId="0" xfId="0" applyAlignment="1" applyProtection="1">
      <alignment vertical="center"/>
    </xf>
    <xf numFmtId="0" fontId="0" fillId="0" borderId="0" xfId="0" applyBorder="1" applyAlignment="1" applyProtection="1">
      <alignment vertical="center"/>
    </xf>
    <xf numFmtId="0" fontId="19" fillId="0" borderId="0" xfId="0" applyFont="1" applyBorder="1" applyAlignment="1" applyProtection="1">
      <alignment horizontal="center" vertical="center" wrapText="1"/>
    </xf>
    <xf numFmtId="180" fontId="46" fillId="0" borderId="48" xfId="0" applyNumberFormat="1" applyFont="1" applyFill="1" applyBorder="1" applyAlignment="1" applyProtection="1">
      <alignment horizontal="right" vertical="center"/>
    </xf>
    <xf numFmtId="0" fontId="19" fillId="0" borderId="20" xfId="0" applyFont="1" applyBorder="1" applyProtection="1">
      <alignment vertical="center"/>
    </xf>
    <xf numFmtId="0" fontId="45" fillId="0" borderId="0" xfId="0" applyFont="1" applyFill="1" applyBorder="1" applyAlignment="1" applyProtection="1">
      <alignment vertical="center" wrapText="1"/>
    </xf>
    <xf numFmtId="181" fontId="19" fillId="0" borderId="52" xfId="0" applyNumberFormat="1" applyFont="1" applyBorder="1" applyProtection="1">
      <alignment vertical="center"/>
    </xf>
    <xf numFmtId="181" fontId="46" fillId="0" borderId="37" xfId="0" applyNumberFormat="1" applyFont="1" applyFill="1" applyBorder="1" applyAlignment="1" applyProtection="1">
      <alignment horizontal="right" vertical="center" wrapText="1"/>
    </xf>
    <xf numFmtId="180" fontId="46" fillId="0" borderId="60" xfId="0" applyNumberFormat="1" applyFont="1" applyFill="1" applyBorder="1" applyAlignment="1" applyProtection="1">
      <alignment horizontal="right" vertical="center"/>
    </xf>
    <xf numFmtId="0" fontId="19" fillId="0" borderId="10" xfId="0" applyFont="1" applyBorder="1" applyAlignment="1" applyProtection="1">
      <alignment horizontal="center" vertical="center"/>
    </xf>
    <xf numFmtId="0" fontId="51" fillId="0" borderId="0" xfId="0" applyFont="1" applyProtection="1">
      <alignment vertical="center"/>
    </xf>
    <xf numFmtId="181" fontId="19" fillId="0" borderId="53" xfId="0" applyNumberFormat="1" applyFont="1" applyBorder="1" applyProtection="1">
      <alignment vertical="center"/>
    </xf>
    <xf numFmtId="181" fontId="46" fillId="0" borderId="51" xfId="0" applyNumberFormat="1" applyFont="1" applyFill="1" applyBorder="1" applyAlignment="1" applyProtection="1">
      <alignment horizontal="right" vertical="center" wrapText="1"/>
    </xf>
    <xf numFmtId="0" fontId="19" fillId="0" borderId="59" xfId="0" applyFont="1" applyBorder="1" applyAlignment="1" applyProtection="1">
      <alignment horizontal="center" vertical="center"/>
    </xf>
    <xf numFmtId="0" fontId="0" fillId="0" borderId="10" xfId="0" applyBorder="1" applyAlignment="1" applyProtection="1">
      <alignment vertical="center"/>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46" fillId="0" borderId="0" xfId="0" applyFont="1" applyAlignment="1" applyProtection="1">
      <alignment vertical="center"/>
    </xf>
    <xf numFmtId="181" fontId="19" fillId="0" borderId="54" xfId="0" applyNumberFormat="1" applyFont="1" applyBorder="1" applyProtection="1">
      <alignment vertical="center"/>
    </xf>
    <xf numFmtId="181" fontId="46"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0" fontId="19" fillId="0" borderId="28" xfId="0" applyFont="1" applyBorder="1" applyAlignment="1" applyProtection="1">
      <alignment horizontal="center" vertical="center"/>
    </xf>
    <xf numFmtId="0" fontId="43" fillId="0" borderId="0" xfId="0" applyFont="1" applyBorder="1" applyAlignment="1" applyProtection="1">
      <alignment vertical="top" wrapText="1"/>
    </xf>
    <xf numFmtId="0" fontId="19" fillId="0" borderId="0" xfId="0" applyFont="1" applyAlignment="1" applyProtection="1">
      <alignment vertical="center"/>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68" xfId="0" applyFont="1" applyBorder="1" applyProtection="1">
      <alignment vertical="center"/>
    </xf>
    <xf numFmtId="0" fontId="0" fillId="0" borderId="18" xfId="0" applyBorder="1" applyAlignment="1" applyProtection="1">
      <alignment vertical="center"/>
    </xf>
    <xf numFmtId="0" fontId="19" fillId="0" borderId="0" xfId="0" applyFont="1" applyFill="1" applyBorder="1" applyProtection="1">
      <alignment vertical="center"/>
    </xf>
    <xf numFmtId="0" fontId="19" fillId="0" borderId="65" xfId="0" applyFont="1" applyBorder="1" applyProtection="1">
      <alignment vertical="center"/>
    </xf>
    <xf numFmtId="180" fontId="0" fillId="0" borderId="0" xfId="0" applyNumberFormat="1" applyBorder="1" applyAlignment="1" applyProtection="1">
      <alignment vertical="center"/>
    </xf>
    <xf numFmtId="0" fontId="19" fillId="0" borderId="12" xfId="0" applyFont="1" applyBorder="1" applyAlignment="1" applyProtection="1">
      <alignment horizontal="center" vertical="center"/>
    </xf>
    <xf numFmtId="0" fontId="43" fillId="0" borderId="0" xfId="0" applyFont="1" applyBorder="1" applyAlignment="1" applyProtection="1">
      <alignment vertical="center" wrapText="1"/>
    </xf>
    <xf numFmtId="0" fontId="19" fillId="0" borderId="18" xfId="0" applyFont="1" applyBorder="1" applyAlignment="1" applyProtection="1">
      <alignment horizontal="center" vertical="center" shrinkToFit="1"/>
    </xf>
    <xf numFmtId="0" fontId="59" fillId="0" borderId="10" xfId="0" applyFont="1" applyBorder="1" applyAlignment="1" applyProtection="1">
      <alignment horizontal="center" vertical="center"/>
    </xf>
    <xf numFmtId="0" fontId="19" fillId="0" borderId="26" xfId="0" applyFont="1" applyBorder="1" applyProtection="1">
      <alignment vertical="center"/>
    </xf>
    <xf numFmtId="0" fontId="19" fillId="0" borderId="23" xfId="0" applyFont="1" applyBorder="1" applyProtection="1">
      <alignment vertical="center"/>
    </xf>
    <xf numFmtId="0" fontId="45" fillId="0" borderId="23" xfId="0" applyFont="1" applyBorder="1" applyAlignment="1" applyProtection="1">
      <alignment vertical="center" wrapText="1"/>
    </xf>
    <xf numFmtId="180" fontId="45" fillId="0" borderId="23" xfId="0" applyNumberFormat="1" applyFont="1" applyBorder="1" applyAlignment="1" applyProtection="1">
      <alignment vertical="center" wrapText="1"/>
    </xf>
    <xf numFmtId="180" fontId="46" fillId="0" borderId="23" xfId="0" applyNumberFormat="1" applyFont="1" applyBorder="1" applyAlignment="1" applyProtection="1">
      <alignment horizontal="right" vertical="center" wrapText="1"/>
    </xf>
    <xf numFmtId="0" fontId="58"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8" fillId="0" borderId="10" xfId="0" applyFont="1" applyBorder="1" applyAlignment="1" applyProtection="1">
      <alignment vertical="center" wrapText="1"/>
    </xf>
    <xf numFmtId="0" fontId="48" fillId="0" borderId="33" xfId="0" applyFont="1" applyBorder="1" applyAlignment="1" applyProtection="1">
      <alignment vertical="center" wrapText="1"/>
    </xf>
    <xf numFmtId="0" fontId="48" fillId="0" borderId="34" xfId="0" applyFont="1" applyBorder="1" applyAlignment="1" applyProtection="1">
      <alignment vertical="center" wrapText="1"/>
    </xf>
    <xf numFmtId="0" fontId="48" fillId="0" borderId="11" xfId="0" applyFont="1" applyBorder="1" applyAlignment="1" applyProtection="1">
      <alignment vertical="center" wrapText="1"/>
    </xf>
    <xf numFmtId="0" fontId="48" fillId="0" borderId="10" xfId="0" applyFont="1" applyBorder="1" applyAlignment="1" applyProtection="1">
      <alignment horizontal="center" vertical="center" wrapText="1"/>
    </xf>
    <xf numFmtId="0" fontId="37"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0" fontId="19" fillId="0" borderId="22"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7"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37"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7" fillId="0" borderId="26" xfId="0" applyNumberFormat="1" applyFont="1" applyBorder="1" applyAlignment="1" applyProtection="1">
      <alignment vertical="center" wrapText="1"/>
    </xf>
    <xf numFmtId="180" fontId="37"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40" xfId="0" applyFont="1" applyBorder="1" applyAlignment="1" applyProtection="1">
      <alignment horizontal="right" vertical="center" shrinkToFit="1"/>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8" xfId="0" applyFont="1" applyBorder="1" applyAlignment="1" applyProtection="1">
      <alignment vertical="center"/>
    </xf>
    <xf numFmtId="0" fontId="37" fillId="0" borderId="18" xfId="0" applyFont="1" applyBorder="1" applyAlignment="1" applyProtection="1">
      <alignment vertical="center" wrapText="1"/>
    </xf>
    <xf numFmtId="0" fontId="19" fillId="0" borderId="66" xfId="0" applyFont="1" applyBorder="1" applyAlignment="1" applyProtection="1">
      <alignment horizontal="center" vertical="center" shrinkToFit="1"/>
    </xf>
    <xf numFmtId="0" fontId="19" fillId="0" borderId="67" xfId="0" applyFont="1" applyBorder="1" applyAlignment="1" applyProtection="1">
      <alignment horizontal="right" vertical="center" shrinkToFit="1"/>
    </xf>
    <xf numFmtId="180" fontId="37" fillId="0" borderId="18" xfId="0" applyNumberFormat="1" applyFont="1" applyBorder="1" applyAlignment="1" applyProtection="1">
      <alignment vertical="center" wrapText="1"/>
    </xf>
    <xf numFmtId="180" fontId="46" fillId="0" borderId="18" xfId="0" applyNumberFormat="1" applyFont="1" applyBorder="1" applyAlignment="1" applyProtection="1">
      <alignment vertical="center" wrapText="1"/>
    </xf>
    <xf numFmtId="0" fontId="19" fillId="0" borderId="20" xfId="0" applyFont="1" applyBorder="1" applyAlignment="1" applyProtection="1">
      <alignment vertical="center"/>
    </xf>
    <xf numFmtId="177" fontId="19" fillId="0" borderId="20" xfId="0" applyNumberFormat="1" applyFont="1" applyBorder="1" applyAlignment="1" applyProtection="1">
      <alignment horizontal="right" vertical="center" shrinkToFit="1"/>
    </xf>
    <xf numFmtId="180" fontId="46" fillId="0" borderId="20" xfId="0" applyNumberFormat="1" applyFont="1" applyBorder="1" applyAlignment="1" applyProtection="1">
      <alignment vertical="center" wrapText="1"/>
    </xf>
    <xf numFmtId="0" fontId="0" fillId="0" borderId="10" xfId="0" applyFont="1" applyFill="1" applyBorder="1" applyAlignment="1" applyProtection="1">
      <alignment vertical="center"/>
    </xf>
    <xf numFmtId="0" fontId="19" fillId="0" borderId="10" xfId="0" applyFont="1" applyBorder="1" applyAlignment="1" applyProtection="1">
      <alignment vertical="center"/>
    </xf>
    <xf numFmtId="179" fontId="19" fillId="0" borderId="1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3" fontId="19" fillId="0" borderId="10" xfId="0" applyNumberFormat="1" applyFont="1" applyBorder="1" applyAlignment="1" applyProtection="1">
      <alignment horizontal="left" vertical="center"/>
    </xf>
    <xf numFmtId="177" fontId="46" fillId="0" borderId="49" xfId="0" applyNumberFormat="1" applyFont="1" applyFill="1" applyBorder="1" applyAlignment="1" applyProtection="1">
      <alignment horizontal="right" vertical="center" wrapText="1"/>
    </xf>
    <xf numFmtId="0" fontId="30" fillId="0" borderId="12" xfId="0" applyFont="1" applyBorder="1" applyProtection="1">
      <alignment vertical="center"/>
    </xf>
    <xf numFmtId="0" fontId="23" fillId="0" borderId="61" xfId="0" applyFont="1" applyFill="1" applyBorder="1" applyAlignment="1" applyProtection="1">
      <alignment horizontal="center" wrapText="1" shrinkToFit="1"/>
    </xf>
    <xf numFmtId="0" fontId="57" fillId="0" borderId="12" xfId="0" applyFont="1" applyBorder="1" applyAlignment="1" applyProtection="1">
      <alignment vertical="center" wrapText="1"/>
    </xf>
    <xf numFmtId="0" fontId="58" fillId="0" borderId="12" xfId="0" applyFont="1" applyBorder="1" applyAlignment="1" applyProtection="1">
      <alignment vertical="center" wrapText="1"/>
    </xf>
    <xf numFmtId="0" fontId="24" fillId="0" borderId="12" xfId="0" applyFont="1" applyBorder="1" applyAlignment="1" applyProtection="1">
      <alignment vertical="center" wrapText="1"/>
    </xf>
    <xf numFmtId="0" fontId="0" fillId="0" borderId="0" xfId="0" applyAlignment="1">
      <alignment wrapText="1"/>
    </xf>
    <xf numFmtId="0" fontId="30" fillId="0" borderId="97" xfId="0" applyFont="1" applyFill="1" applyBorder="1" applyAlignment="1" applyProtection="1">
      <alignment horizontal="center" vertical="center" wrapText="1"/>
    </xf>
    <xf numFmtId="0" fontId="23" fillId="0" borderId="97"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6" fillId="0" borderId="12" xfId="0" applyFont="1" applyBorder="1" applyAlignment="1" applyProtection="1">
      <alignment vertical="center" wrapText="1"/>
    </xf>
    <xf numFmtId="0" fontId="23" fillId="0" borderId="12" xfId="0" applyFont="1" applyBorder="1" applyAlignment="1" applyProtection="1">
      <alignment vertical="center" wrapText="1"/>
    </xf>
    <xf numFmtId="0" fontId="30" fillId="0" borderId="14"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7" fillId="0" borderId="13" xfId="0" applyFont="1" applyFill="1" applyBorder="1" applyAlignment="1" applyProtection="1">
      <alignment horizontal="right" vertical="center"/>
    </xf>
    <xf numFmtId="0" fontId="23" fillId="0" borderId="43" xfId="0" applyFont="1" applyBorder="1" applyAlignment="1" applyProtection="1">
      <alignment vertical="center" wrapText="1"/>
    </xf>
    <xf numFmtId="0" fontId="23" fillId="0" borderId="71" xfId="0" applyFont="1" applyBorder="1" applyAlignment="1" applyProtection="1">
      <alignment horizontal="center" vertical="center" wrapText="1"/>
    </xf>
    <xf numFmtId="0" fontId="26" fillId="0" borderId="62" xfId="0" quotePrefix="1" applyFont="1" applyBorder="1" applyAlignment="1" applyProtection="1">
      <alignment horizontal="center" vertical="center" wrapText="1"/>
    </xf>
    <xf numFmtId="0" fontId="53" fillId="0" borderId="0" xfId="0" applyFont="1" applyBorder="1" applyAlignment="1" applyProtection="1">
      <alignment horizontal="center" vertical="center"/>
    </xf>
    <xf numFmtId="177" fontId="26" fillId="0" borderId="10" xfId="0" applyNumberFormat="1" applyFont="1" applyFill="1" applyBorder="1" applyAlignment="1" applyProtection="1">
      <alignment horizontal="center" vertical="center" wrapText="1"/>
    </xf>
    <xf numFmtId="176" fontId="23" fillId="0" borderId="72" xfId="0" applyNumberFormat="1" applyFont="1" applyFill="1" applyBorder="1" applyAlignment="1" applyProtection="1">
      <alignment horizontal="center" vertical="center" wrapText="1"/>
    </xf>
    <xf numFmtId="176" fontId="23" fillId="0" borderId="73" xfId="0" applyNumberFormat="1"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42" fillId="33" borderId="10" xfId="0" applyFont="1" applyFill="1" applyBorder="1" applyAlignment="1" applyProtection="1">
      <alignment horizontal="center" vertical="center" shrinkToFit="1"/>
    </xf>
    <xf numFmtId="177" fontId="26" fillId="33" borderId="10"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30" xfId="0" applyFont="1" applyFill="1" applyBorder="1" applyAlignment="1" applyProtection="1">
      <alignment horizontal="center" vertical="center" wrapText="1"/>
    </xf>
    <xf numFmtId="0" fontId="26" fillId="0" borderId="97" xfId="0" applyFont="1" applyFill="1" applyBorder="1" applyAlignment="1" applyProtection="1">
      <alignment horizontal="center" vertical="center" wrapText="1"/>
    </xf>
    <xf numFmtId="0" fontId="26" fillId="0" borderId="43" xfId="0" applyFont="1" applyFill="1" applyBorder="1" applyAlignment="1" applyProtection="1">
      <alignment vertical="center" wrapText="1"/>
    </xf>
    <xf numFmtId="0" fontId="26" fillId="0" borderId="24" xfId="0" applyFont="1" applyFill="1" applyBorder="1" applyAlignment="1" applyProtection="1">
      <alignment vertical="center" wrapText="1"/>
    </xf>
    <xf numFmtId="0" fontId="26" fillId="0" borderId="99"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6" fontId="0" fillId="0" borderId="10" xfId="0" applyNumberFormat="1" applyBorder="1" applyAlignment="1" applyProtection="1">
      <alignment vertical="center"/>
    </xf>
    <xf numFmtId="0" fontId="45" fillId="0" borderId="10" xfId="0" applyFont="1" applyFill="1" applyBorder="1" applyAlignment="1" applyProtection="1">
      <alignment horizontal="center" vertical="center" wrapText="1"/>
    </xf>
    <xf numFmtId="177" fontId="0" fillId="0" borderId="10" xfId="0" applyNumberFormat="1" applyBorder="1" applyAlignment="1" applyProtection="1">
      <alignment vertical="center"/>
    </xf>
    <xf numFmtId="0" fontId="23" fillId="0" borderId="63" xfId="0" applyFont="1" applyFill="1" applyBorder="1" applyAlignment="1" applyProtection="1">
      <alignment horizontal="center" vertical="center" wrapText="1"/>
    </xf>
    <xf numFmtId="0" fontId="23" fillId="0" borderId="99" xfId="0" applyFont="1" applyFill="1" applyBorder="1" applyAlignment="1" applyProtection="1">
      <alignment horizontal="center" vertical="center" wrapText="1"/>
    </xf>
    <xf numFmtId="0" fontId="19" fillId="0" borderId="10" xfId="0" applyFont="1" applyBorder="1" applyAlignment="1">
      <alignment horizontal="center" vertical="center" wrapText="1"/>
    </xf>
    <xf numFmtId="176" fontId="26" fillId="33" borderId="10"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64" fillId="34" borderId="10" xfId="0" applyFont="1" applyFill="1" applyBorder="1" applyAlignment="1" applyProtection="1">
      <alignment horizontal="center" vertical="center"/>
    </xf>
    <xf numFmtId="0" fontId="65" fillId="34" borderId="10" xfId="0" applyFont="1" applyFill="1" applyBorder="1" applyAlignment="1" applyProtection="1">
      <alignment horizontal="left" vertical="center"/>
    </xf>
    <xf numFmtId="0" fontId="66" fillId="0" borderId="10" xfId="0" applyFont="1" applyBorder="1" applyProtection="1">
      <alignment vertical="center"/>
    </xf>
    <xf numFmtId="0" fontId="19" fillId="0" borderId="10" xfId="0" applyFont="1" applyBorder="1" applyAlignment="1" applyProtection="1">
      <alignment vertical="center" wrapText="1"/>
    </xf>
    <xf numFmtId="0" fontId="51" fillId="0" borderId="10" xfId="0" applyFont="1" applyBorder="1" applyProtection="1">
      <alignment vertical="center"/>
    </xf>
    <xf numFmtId="0" fontId="0" fillId="35" borderId="10" xfId="0" applyFill="1" applyBorder="1" applyAlignment="1" applyProtection="1">
      <alignment horizontal="left" vertical="center"/>
      <protection locked="0"/>
    </xf>
    <xf numFmtId="0" fontId="0" fillId="0" borderId="10" xfId="0" applyFont="1" applyFill="1" applyBorder="1" applyAlignment="1" applyProtection="1">
      <alignment vertical="center" wrapText="1"/>
    </xf>
    <xf numFmtId="0" fontId="37" fillId="0" borderId="10" xfId="0" applyFont="1" applyBorder="1" applyAlignment="1" applyProtection="1">
      <alignment horizontal="left" vertical="center" wrapText="1"/>
    </xf>
    <xf numFmtId="0" fontId="24"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182" fontId="23" fillId="35" borderId="47" xfId="0" applyNumberFormat="1" applyFont="1" applyFill="1" applyBorder="1" applyAlignment="1" applyProtection="1">
      <alignment horizontal="center" vertical="center" wrapText="1"/>
      <protection locked="0"/>
    </xf>
    <xf numFmtId="182" fontId="23" fillId="35" borderId="60" xfId="0" applyNumberFormat="1" applyFont="1" applyFill="1" applyBorder="1" applyAlignment="1" applyProtection="1">
      <alignment horizontal="center" vertical="center" wrapText="1"/>
      <protection locked="0"/>
    </xf>
    <xf numFmtId="14" fontId="21" fillId="36" borderId="28" xfId="0" applyNumberFormat="1" applyFont="1" applyFill="1" applyBorder="1" applyAlignment="1" applyProtection="1">
      <alignment vertical="center" wrapText="1"/>
      <protection locked="0"/>
    </xf>
    <xf numFmtId="0" fontId="23" fillId="35" borderId="28" xfId="0" applyFont="1" applyFill="1" applyBorder="1" applyAlignment="1" applyProtection="1">
      <alignment horizontal="center" vertical="center" shrinkToFit="1"/>
      <protection locked="0"/>
    </xf>
    <xf numFmtId="0" fontId="70" fillId="37" borderId="0" xfId="0" applyFont="1" applyFill="1" applyProtection="1">
      <alignment vertical="center"/>
    </xf>
    <xf numFmtId="0" fontId="70" fillId="37" borderId="0" xfId="0" applyFont="1" applyFill="1" applyAlignment="1" applyProtection="1">
      <alignment vertical="center"/>
    </xf>
    <xf numFmtId="0" fontId="0" fillId="38" borderId="47" xfId="0" applyFill="1" applyBorder="1" applyAlignment="1" applyProtection="1">
      <alignment horizontal="center" vertical="center"/>
    </xf>
    <xf numFmtId="180" fontId="0" fillId="38" borderId="46" xfId="0" applyNumberFormat="1" applyFill="1" applyBorder="1" applyAlignment="1" applyProtection="1">
      <alignment vertical="center"/>
    </xf>
    <xf numFmtId="180" fontId="19" fillId="38" borderId="48" xfId="0" applyNumberFormat="1" applyFont="1" applyFill="1" applyBorder="1" applyAlignment="1" applyProtection="1">
      <alignment horizontal="right" vertical="center"/>
    </xf>
    <xf numFmtId="0" fontId="19" fillId="0" borderId="20" xfId="0" applyFont="1" applyBorder="1" applyAlignment="1" applyProtection="1">
      <alignment horizontal="left" vertical="center" wrapText="1"/>
    </xf>
    <xf numFmtId="0" fontId="23" fillId="36" borderId="30" xfId="0" applyFont="1" applyFill="1" applyBorder="1" applyAlignment="1" applyProtection="1">
      <alignment horizontal="center" vertical="center" wrapText="1"/>
      <protection locked="0"/>
    </xf>
    <xf numFmtId="176" fontId="23" fillId="33" borderId="18"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176" fontId="23" fillId="0" borderId="10" xfId="0" applyNumberFormat="1"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35" fillId="0" borderId="0" xfId="0" applyFont="1" applyProtection="1">
      <alignment vertical="center"/>
    </xf>
    <xf numFmtId="0" fontId="19" fillId="0" borderId="0" xfId="0" applyFont="1" applyFill="1" applyAlignment="1" applyProtection="1">
      <alignment vertical="center"/>
    </xf>
    <xf numFmtId="0" fontId="66"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8"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0" fontId="19" fillId="0" borderId="0" xfId="0" applyFont="1" applyAlignment="1" applyProtection="1">
      <alignment horizontal="right" vertical="center"/>
    </xf>
    <xf numFmtId="177" fontId="19" fillId="0" borderId="10" xfId="0" applyNumberFormat="1" applyFont="1" applyBorder="1" applyAlignment="1" applyProtection="1">
      <alignment vertical="center"/>
    </xf>
    <xf numFmtId="0" fontId="39" fillId="0" borderId="0" xfId="0" applyFont="1" applyProtection="1">
      <alignment vertical="center"/>
    </xf>
    <xf numFmtId="0" fontId="22" fillId="0" borderId="0" xfId="0" applyFont="1" applyAlignment="1" applyProtection="1">
      <alignment horizontal="justify" vertical="center"/>
    </xf>
    <xf numFmtId="0" fontId="58" fillId="0" borderId="0" xfId="0" applyFont="1" applyFill="1" applyAlignment="1" applyProtection="1">
      <alignment horizontal="right" vertical="center"/>
    </xf>
    <xf numFmtId="0" fontId="22" fillId="0" borderId="0" xfId="0" applyFont="1" applyAlignment="1" applyProtection="1">
      <alignment horizontal="justify"/>
    </xf>
    <xf numFmtId="0" fontId="22" fillId="0" borderId="0" xfId="0" applyFont="1" applyAlignment="1" applyProtection="1">
      <alignment horizontal="left"/>
    </xf>
    <xf numFmtId="0" fontId="22" fillId="0" borderId="0" xfId="0" applyFont="1" applyAlignment="1" applyProtection="1">
      <alignment horizontal="left" vertical="center"/>
    </xf>
    <xf numFmtId="0" fontId="68" fillId="0" borderId="0" xfId="0" applyFont="1" applyFill="1" applyAlignment="1" applyProtection="1">
      <alignment vertical="center" shrinkToFit="1"/>
    </xf>
    <xf numFmtId="49" fontId="39" fillId="0" borderId="0" xfId="0" applyNumberFormat="1" applyFont="1" applyProtection="1">
      <alignment vertical="center"/>
    </xf>
    <xf numFmtId="0" fontId="42" fillId="0" borderId="0" xfId="0" applyFont="1" applyAlignment="1" applyProtection="1">
      <alignment horizontal="left" vertical="center"/>
    </xf>
    <xf numFmtId="0" fontId="63" fillId="0" borderId="12" xfId="0" applyFont="1" applyBorder="1" applyAlignment="1" applyProtection="1">
      <alignment horizontal="center" vertical="center" wrapText="1"/>
    </xf>
    <xf numFmtId="0" fontId="63" fillId="0" borderId="10" xfId="0" applyFont="1" applyBorder="1" applyAlignment="1" applyProtection="1">
      <alignment horizontal="center" vertical="center" wrapText="1"/>
    </xf>
    <xf numFmtId="0" fontId="48"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19" fillId="0" borderId="43" xfId="0" applyNumberFormat="1" applyFont="1" applyBorder="1" applyProtection="1">
      <alignment vertical="center"/>
    </xf>
    <xf numFmtId="177" fontId="19" fillId="0" borderId="37" xfId="0" applyNumberFormat="1" applyFont="1" applyBorder="1" applyProtection="1">
      <alignment vertical="center"/>
    </xf>
    <xf numFmtId="177" fontId="19" fillId="0" borderId="101" xfId="0" applyNumberFormat="1" applyFont="1" applyBorder="1" applyProtection="1">
      <alignment vertical="center"/>
    </xf>
    <xf numFmtId="177" fontId="19" fillId="0" borderId="51" xfId="0" applyNumberFormat="1" applyFont="1" applyBorder="1" applyProtection="1">
      <alignment vertical="center"/>
    </xf>
    <xf numFmtId="177" fontId="19" fillId="0" borderId="102" xfId="0" applyNumberFormat="1" applyFont="1" applyBorder="1" applyProtection="1">
      <alignment vertical="center"/>
    </xf>
    <xf numFmtId="177" fontId="19" fillId="0" borderId="42" xfId="0" applyNumberFormat="1" applyFont="1" applyBorder="1" applyProtection="1">
      <alignment vertical="center"/>
    </xf>
    <xf numFmtId="177" fontId="19" fillId="0" borderId="103" xfId="0" applyNumberFormat="1" applyFont="1" applyBorder="1" applyProtection="1">
      <alignment vertical="center"/>
    </xf>
    <xf numFmtId="176" fontId="23" fillId="33" borderId="10" xfId="0" applyNumberFormat="1" applyFont="1" applyFill="1" applyBorder="1" applyAlignment="1" applyProtection="1">
      <alignment horizontal="center" vertical="center" wrapText="1"/>
    </xf>
    <xf numFmtId="49" fontId="57" fillId="35" borderId="50" xfId="0" applyNumberFormat="1" applyFont="1" applyFill="1" applyBorder="1" applyAlignment="1" applyProtection="1">
      <alignment vertical="center" wrapText="1"/>
      <protection locked="0"/>
    </xf>
    <xf numFmtId="49" fontId="26" fillId="35" borderId="98" xfId="0" quotePrefix="1" applyNumberFormat="1" applyFont="1" applyFill="1" applyBorder="1" applyAlignment="1" applyProtection="1">
      <alignment horizontal="center" vertical="center" wrapText="1"/>
      <protection locked="0"/>
    </xf>
    <xf numFmtId="49" fontId="23" fillId="35" borderId="98" xfId="0" quotePrefix="1" applyNumberFormat="1" applyFont="1" applyFill="1" applyBorder="1" applyAlignment="1" applyProtection="1">
      <alignment horizontal="center" vertical="center" wrapText="1"/>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61" fillId="0" borderId="0" xfId="0" applyFont="1" applyBorder="1" applyAlignment="1" applyProtection="1">
      <alignment horizontal="center" vertical="center"/>
    </xf>
    <xf numFmtId="0" fontId="64" fillId="34" borderId="12" xfId="0" applyFont="1" applyFill="1" applyBorder="1" applyAlignment="1" applyProtection="1">
      <alignment horizontal="center" vertical="center"/>
    </xf>
    <xf numFmtId="0" fontId="64"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42" fillId="0" borderId="0" xfId="0" applyFont="1" applyAlignment="1" applyProtection="1">
      <alignment horizontal="left" vertical="center"/>
    </xf>
    <xf numFmtId="0" fontId="38" fillId="0" borderId="0" xfId="0" applyFont="1" applyAlignment="1" applyProtection="1">
      <alignment horizontal="center" vertical="center"/>
    </xf>
    <xf numFmtId="0" fontId="22" fillId="0" borderId="0" xfId="0" applyFont="1" applyAlignment="1" applyProtection="1">
      <alignment horizontal="center" vertical="center"/>
    </xf>
    <xf numFmtId="58" fontId="42" fillId="0" borderId="0" xfId="0" applyNumberFormat="1" applyFont="1" applyFill="1" applyAlignment="1" applyProtection="1">
      <alignment horizontal="right" vertical="center"/>
    </xf>
    <xf numFmtId="0" fontId="68" fillId="0" borderId="0" xfId="0" applyFont="1" applyFill="1" applyAlignment="1" applyProtection="1">
      <alignment horizontal="left" vertical="center" shrinkToFit="1"/>
    </xf>
    <xf numFmtId="0" fontId="68" fillId="0" borderId="0" xfId="0" applyFont="1" applyFill="1" applyAlignment="1" applyProtection="1">
      <alignment horizontal="left" wrapText="1" shrinkToFit="1"/>
    </xf>
    <xf numFmtId="0" fontId="68" fillId="0" borderId="0" xfId="0" applyFont="1" applyFill="1" applyAlignment="1" applyProtection="1">
      <alignment horizontal="left" shrinkToFit="1"/>
    </xf>
    <xf numFmtId="0" fontId="23" fillId="36" borderId="58" xfId="0" applyFont="1" applyFill="1" applyBorder="1" applyAlignment="1" applyProtection="1">
      <alignment horizontal="center" vertical="center" wrapText="1"/>
      <protection locked="0"/>
    </xf>
    <xf numFmtId="0" fontId="23" fillId="36" borderId="83" xfId="0" applyFont="1" applyFill="1" applyBorder="1" applyAlignment="1" applyProtection="1">
      <alignment horizontal="center" vertical="center" wrapText="1"/>
      <protection locked="0"/>
    </xf>
    <xf numFmtId="0" fontId="23" fillId="36" borderId="84" xfId="0" applyFont="1" applyFill="1" applyBorder="1" applyAlignment="1" applyProtection="1">
      <alignment horizontal="center" vertical="center" wrapText="1"/>
      <protection locked="0"/>
    </xf>
    <xf numFmtId="0" fontId="23" fillId="0" borderId="90" xfId="0" applyFont="1" applyFill="1" applyBorder="1" applyAlignment="1" applyProtection="1">
      <alignment horizontal="center" vertical="center" wrapText="1"/>
    </xf>
    <xf numFmtId="0" fontId="23" fillId="0" borderId="86" xfId="0" applyFont="1" applyFill="1" applyBorder="1" applyAlignment="1" applyProtection="1">
      <alignment horizontal="center" vertical="center" wrapText="1"/>
    </xf>
    <xf numFmtId="0" fontId="23" fillId="0" borderId="87"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96" xfId="0" applyFont="1" applyFill="1" applyBorder="1" applyAlignment="1" applyProtection="1">
      <alignment horizontal="center" vertical="center" wrapText="1"/>
    </xf>
    <xf numFmtId="0" fontId="30" fillId="35" borderId="30" xfId="0" applyFont="1" applyFill="1" applyBorder="1" applyAlignment="1" applyProtection="1">
      <alignment horizontal="center" vertical="center"/>
      <protection locked="0"/>
    </xf>
    <xf numFmtId="0" fontId="30" fillId="35" borderId="50" xfId="0" applyFont="1" applyFill="1" applyBorder="1" applyAlignment="1" applyProtection="1">
      <alignment horizontal="center" vertical="center"/>
      <protection locked="0"/>
    </xf>
    <xf numFmtId="0" fontId="30" fillId="35" borderId="31" xfId="0" applyFont="1" applyFill="1" applyBorder="1" applyAlignment="1" applyProtection="1">
      <alignment horizontal="center" vertical="center"/>
      <protection locked="0"/>
    </xf>
    <xf numFmtId="184" fontId="30" fillId="35" borderId="30" xfId="0" applyNumberFormat="1" applyFont="1" applyFill="1" applyBorder="1" applyAlignment="1" applyProtection="1">
      <alignment horizontal="center" vertical="center" wrapText="1"/>
      <protection locked="0"/>
    </xf>
    <xf numFmtId="184" fontId="30" fillId="35" borderId="50" xfId="0" applyNumberFormat="1" applyFont="1" applyFill="1" applyBorder="1" applyAlignment="1" applyProtection="1">
      <alignment horizontal="center" vertical="center" wrapText="1"/>
      <protection locked="0"/>
    </xf>
    <xf numFmtId="184" fontId="30" fillId="35" borderId="31" xfId="0" applyNumberFormat="1" applyFont="1" applyFill="1" applyBorder="1" applyAlignment="1" applyProtection="1">
      <alignment horizontal="center" vertical="center" wrapText="1"/>
      <protection locked="0"/>
    </xf>
    <xf numFmtId="0" fontId="57" fillId="0" borderId="98" xfId="0" applyFont="1" applyFill="1" applyBorder="1" applyAlignment="1" applyProtection="1">
      <alignment horizontal="center" vertical="center" wrapText="1"/>
    </xf>
    <xf numFmtId="0" fontId="57" fillId="0" borderId="100" xfId="0" applyFont="1" applyFill="1" applyBorder="1" applyAlignment="1" applyProtection="1">
      <alignment horizontal="center" vertical="center" wrapText="1"/>
    </xf>
    <xf numFmtId="0" fontId="29" fillId="0" borderId="98" xfId="0" applyFont="1" applyFill="1" applyBorder="1" applyAlignment="1" applyProtection="1">
      <alignment horizontal="right" vertical="center" wrapText="1"/>
    </xf>
    <xf numFmtId="0" fontId="29" fillId="0" borderId="50" xfId="0" applyFont="1" applyFill="1" applyBorder="1" applyAlignment="1" applyProtection="1">
      <alignment horizontal="right" vertical="center" wrapText="1"/>
    </xf>
    <xf numFmtId="0" fontId="26" fillId="35" borderId="30" xfId="0" applyFont="1" applyFill="1" applyBorder="1" applyAlignment="1" applyProtection="1">
      <alignment horizontal="center" vertical="center" wrapText="1"/>
      <protection locked="0"/>
    </xf>
    <xf numFmtId="0" fontId="26" fillId="35" borderId="50" xfId="0" applyFont="1" applyFill="1" applyBorder="1" applyAlignment="1" applyProtection="1">
      <alignment horizontal="center" vertical="center" wrapText="1"/>
      <protection locked="0"/>
    </xf>
    <xf numFmtId="0" fontId="43" fillId="0" borderId="98" xfId="0" applyFont="1" applyFill="1" applyBorder="1" applyAlignment="1" applyProtection="1">
      <alignment horizontal="left" vertical="center" wrapText="1"/>
    </xf>
    <xf numFmtId="0" fontId="43" fillId="0" borderId="50" xfId="0" applyFont="1" applyFill="1" applyBorder="1" applyAlignment="1" applyProtection="1">
      <alignment horizontal="left" vertical="center" wrapText="1"/>
    </xf>
    <xf numFmtId="0" fontId="43" fillId="0" borderId="31" xfId="0" applyFont="1" applyFill="1" applyBorder="1" applyAlignment="1" applyProtection="1">
      <alignment horizontal="left" vertical="center" wrapText="1"/>
    </xf>
    <xf numFmtId="49" fontId="26" fillId="35" borderId="50" xfId="0" applyNumberFormat="1" applyFont="1" applyFill="1" applyBorder="1" applyAlignment="1" applyProtection="1">
      <alignment horizontal="center" vertical="center" wrapText="1"/>
      <protection locked="0"/>
    </xf>
    <xf numFmtId="0" fontId="30" fillId="35" borderId="30" xfId="0" applyFont="1" applyFill="1" applyBorder="1" applyAlignment="1" applyProtection="1">
      <alignment horizontal="center" vertical="center" wrapText="1"/>
      <protection locked="0"/>
    </xf>
    <xf numFmtId="0" fontId="30" fillId="35" borderId="50"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0"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30" fillId="0" borderId="91" xfId="0" applyFont="1" applyBorder="1" applyAlignment="1" applyProtection="1">
      <alignment horizontal="center" vertical="center"/>
    </xf>
    <xf numFmtId="0" fontId="30" fillId="0" borderId="95" xfId="0" applyFont="1" applyBorder="1" applyAlignment="1" applyProtection="1">
      <alignment horizontal="center" vertical="center"/>
    </xf>
    <xf numFmtId="0" fontId="30" fillId="0" borderId="92" xfId="0" applyFont="1" applyBorder="1" applyAlignment="1" applyProtection="1">
      <alignment horizontal="center" vertical="center"/>
    </xf>
    <xf numFmtId="0" fontId="23" fillId="36" borderId="85" xfId="0" applyFont="1" applyFill="1" applyBorder="1" applyAlignment="1" applyProtection="1">
      <alignment horizontal="center" vertical="center" wrapText="1"/>
      <protection locked="0"/>
    </xf>
    <xf numFmtId="0" fontId="23" fillId="36" borderId="86" xfId="0" applyFont="1" applyFill="1" applyBorder="1" applyAlignment="1" applyProtection="1">
      <alignment horizontal="center" vertical="center" wrapText="1"/>
      <protection locked="0"/>
    </xf>
    <xf numFmtId="0" fontId="23" fillId="36" borderId="87" xfId="0" applyFont="1" applyFill="1" applyBorder="1" applyAlignment="1" applyProtection="1">
      <alignment horizontal="center" vertical="center" wrapText="1"/>
      <protection locked="0"/>
    </xf>
    <xf numFmtId="184" fontId="26" fillId="35" borderId="30" xfId="0" applyNumberFormat="1" applyFont="1" applyFill="1" applyBorder="1" applyAlignment="1" applyProtection="1">
      <alignment horizontal="center" vertical="center" wrapText="1"/>
      <protection locked="0"/>
    </xf>
    <xf numFmtId="184" fontId="26" fillId="35" borderId="50" xfId="0" applyNumberFormat="1" applyFont="1" applyFill="1" applyBorder="1" applyAlignment="1" applyProtection="1">
      <alignment horizontal="center" vertical="center" wrapText="1"/>
      <protection locked="0"/>
    </xf>
    <xf numFmtId="184" fontId="26" fillId="35" borderId="31" xfId="0" applyNumberFormat="1" applyFont="1" applyFill="1" applyBorder="1" applyAlignment="1" applyProtection="1">
      <alignment horizontal="center" vertical="center" wrapText="1"/>
      <protection locked="0"/>
    </xf>
    <xf numFmtId="0" fontId="62" fillId="0" borderId="98" xfId="0" applyFont="1" applyFill="1" applyBorder="1" applyAlignment="1" applyProtection="1">
      <alignment horizontal="left" vertical="center" wrapText="1"/>
    </xf>
    <xf numFmtId="0" fontId="62" fillId="0" borderId="50" xfId="0" applyFont="1" applyFill="1" applyBorder="1" applyAlignment="1" applyProtection="1">
      <alignment horizontal="left" vertical="center" wrapText="1"/>
    </xf>
    <xf numFmtId="0" fontId="62" fillId="0" borderId="31" xfId="0" applyFont="1" applyFill="1" applyBorder="1" applyAlignment="1" applyProtection="1">
      <alignment horizontal="left" vertical="center" wrapText="1"/>
    </xf>
    <xf numFmtId="49" fontId="23" fillId="35" borderId="50" xfId="0" applyNumberFormat="1" applyFont="1" applyFill="1" applyBorder="1" applyAlignment="1" applyProtection="1">
      <alignment horizontal="center" vertical="center" wrapText="1"/>
      <protection locked="0"/>
    </xf>
    <xf numFmtId="0" fontId="23" fillId="0" borderId="49" xfId="0" applyFont="1" applyFill="1" applyBorder="1" applyAlignment="1" applyProtection="1">
      <alignment horizontal="center" wrapText="1" shrinkToFit="1"/>
    </xf>
    <xf numFmtId="0" fontId="23" fillId="0" borderId="45" xfId="0" applyFont="1" applyFill="1" applyBorder="1" applyAlignment="1" applyProtection="1">
      <alignment horizontal="center" wrapText="1" shrinkToFit="1"/>
    </xf>
    <xf numFmtId="0" fontId="55" fillId="0" borderId="0" xfId="0" applyFont="1" applyAlignment="1" applyProtection="1">
      <alignment horizontal="justify" vertical="center" wrapText="1"/>
    </xf>
    <xf numFmtId="0" fontId="57" fillId="0" borderId="24" xfId="0" applyFont="1" applyBorder="1" applyAlignment="1" applyProtection="1">
      <alignment horizontal="center" vertical="center"/>
    </xf>
    <xf numFmtId="0" fontId="58" fillId="0" borderId="24" xfId="0" applyFont="1" applyBorder="1" applyAlignment="1" applyProtection="1">
      <alignment horizontal="center" vertical="center"/>
    </xf>
    <xf numFmtId="0" fontId="23" fillId="35" borderId="93" xfId="0" quotePrefix="1" applyFont="1" applyFill="1" applyBorder="1" applyAlignment="1" applyProtection="1">
      <alignment horizontal="center" vertical="center" wrapText="1"/>
      <protection locked="0"/>
    </xf>
    <xf numFmtId="0" fontId="23" fillId="35" borderId="63" xfId="0" quotePrefix="1" applyFont="1" applyFill="1" applyBorder="1" applyAlignment="1" applyProtection="1">
      <alignment horizontal="center" vertical="center" wrapText="1"/>
      <protection locked="0"/>
    </xf>
    <xf numFmtId="0" fontId="23" fillId="35" borderId="94" xfId="0" quotePrefix="1" applyFont="1" applyFill="1" applyBorder="1" applyAlignment="1" applyProtection="1">
      <alignment horizontal="center" vertical="center" wrapText="1"/>
      <protection locked="0"/>
    </xf>
    <xf numFmtId="0" fontId="24" fillId="35" borderId="93" xfId="0" quotePrefix="1" applyFont="1" applyFill="1" applyBorder="1" applyAlignment="1" applyProtection="1">
      <alignment horizontal="center" vertical="center" wrapText="1"/>
      <protection locked="0"/>
    </xf>
    <xf numFmtId="0" fontId="24" fillId="35" borderId="63" xfId="0" quotePrefix="1" applyFont="1" applyFill="1" applyBorder="1" applyAlignment="1" applyProtection="1">
      <alignment horizontal="center" vertical="center" wrapText="1"/>
      <protection locked="0"/>
    </xf>
    <xf numFmtId="0" fontId="24" fillId="35" borderId="94" xfId="0" quotePrefix="1" applyFont="1" applyFill="1" applyBorder="1" applyAlignment="1" applyProtection="1">
      <alignment horizontal="center" vertical="center" wrapText="1"/>
      <protection locked="0"/>
    </xf>
    <xf numFmtId="0" fontId="24" fillId="36" borderId="93" xfId="0" applyFont="1" applyFill="1" applyBorder="1" applyAlignment="1" applyProtection="1">
      <alignment horizontal="center" vertical="center" wrapText="1"/>
      <protection locked="0"/>
    </xf>
    <xf numFmtId="0" fontId="24" fillId="36" borderId="63" xfId="0" applyFont="1" applyFill="1" applyBorder="1" applyAlignment="1" applyProtection="1">
      <alignment horizontal="center" vertical="center" wrapText="1"/>
      <protection locked="0"/>
    </xf>
    <xf numFmtId="0" fontId="24" fillId="36" borderId="94"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left" vertical="center" wrapText="1"/>
    </xf>
    <xf numFmtId="0" fontId="58" fillId="0" borderId="11" xfId="0" applyFont="1" applyFill="1" applyBorder="1" applyAlignment="1" applyProtection="1">
      <alignment horizontal="left" vertical="center" wrapText="1"/>
    </xf>
    <xf numFmtId="0" fontId="39" fillId="0" borderId="20" xfId="0" applyFont="1" applyBorder="1" applyAlignment="1" applyProtection="1">
      <alignment horizontal="center" vertical="center" textRotation="255"/>
    </xf>
    <xf numFmtId="0" fontId="39" fillId="0" borderId="10" xfId="0" applyFont="1" applyBorder="1" applyAlignment="1" applyProtection="1">
      <alignment horizontal="center" vertical="center" textRotation="255"/>
    </xf>
    <xf numFmtId="0" fontId="23" fillId="0" borderId="1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176" fontId="23" fillId="33" borderId="14" xfId="0" applyNumberFormat="1" applyFont="1" applyFill="1" applyBorder="1" applyAlignment="1" applyProtection="1">
      <alignment horizontal="center" vertical="center" wrapText="1"/>
    </xf>
    <xf numFmtId="176" fontId="23" fillId="33" borderId="25" xfId="0" applyNumberFormat="1" applyFont="1" applyFill="1" applyBorder="1" applyAlignment="1" applyProtection="1">
      <alignment horizontal="center" vertical="center" wrapText="1"/>
    </xf>
    <xf numFmtId="176" fontId="23" fillId="33" borderId="17" xfId="0" applyNumberFormat="1" applyFont="1" applyFill="1" applyBorder="1" applyAlignment="1" applyProtection="1">
      <alignment horizontal="center" vertical="center" wrapText="1"/>
    </xf>
    <xf numFmtId="0" fontId="21" fillId="0" borderId="45" xfId="0" applyFont="1" applyFill="1" applyBorder="1" applyAlignment="1" applyProtection="1">
      <alignment horizontal="left" vertical="top" wrapText="1" shrinkToFit="1"/>
    </xf>
    <xf numFmtId="0" fontId="21" fillId="0" borderId="57" xfId="0" applyFont="1" applyFill="1" applyBorder="1" applyAlignment="1" applyProtection="1">
      <alignment horizontal="left" vertical="top" wrapText="1" shrinkToFit="1"/>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3" fillId="0" borderId="17"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56" fillId="0" borderId="0" xfId="0" applyFont="1" applyAlignment="1" applyProtection="1">
      <alignment horizontal="justify"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176" fontId="23" fillId="0" borderId="20" xfId="0" applyNumberFormat="1" applyFont="1" applyFill="1" applyBorder="1" applyAlignment="1" applyProtection="1">
      <alignment horizontal="center" vertical="center" wrapText="1"/>
    </xf>
    <xf numFmtId="176" fontId="23" fillId="33" borderId="18" xfId="0" applyNumberFormat="1" applyFont="1" applyFill="1" applyBorder="1" applyAlignment="1" applyProtection="1">
      <alignment horizontal="center" vertical="center" wrapText="1"/>
    </xf>
    <xf numFmtId="176" fontId="23" fillId="33" borderId="19" xfId="0" applyNumberFormat="1" applyFont="1" applyFill="1" applyBorder="1" applyAlignment="1" applyProtection="1">
      <alignment horizontal="center" vertical="center" wrapText="1"/>
    </xf>
    <xf numFmtId="176" fontId="23" fillId="33" borderId="20" xfId="0" applyNumberFormat="1" applyFont="1" applyFill="1" applyBorder="1" applyAlignment="1" applyProtection="1">
      <alignment horizontal="center" vertical="center" wrapText="1"/>
    </xf>
    <xf numFmtId="0" fontId="57" fillId="0" borderId="12"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49" fontId="30" fillId="35" borderId="30" xfId="0" quotePrefix="1" applyNumberFormat="1" applyFont="1" applyFill="1" applyBorder="1" applyAlignment="1" applyProtection="1">
      <alignment horizontal="center" vertical="center" wrapText="1"/>
      <protection locked="0"/>
    </xf>
    <xf numFmtId="49" fontId="30" fillId="35" borderId="50" xfId="0" quotePrefix="1" applyNumberFormat="1" applyFont="1" applyFill="1" applyBorder="1" applyAlignment="1" applyProtection="1">
      <alignment horizontal="center" vertical="center" wrapText="1"/>
      <protection locked="0"/>
    </xf>
    <xf numFmtId="0" fontId="23" fillId="0" borderId="14"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1" fillId="0" borderId="23" xfId="0" applyFont="1" applyBorder="1" applyAlignment="1" applyProtection="1">
      <alignment horizontal="right" vertical="center" wrapText="1"/>
    </xf>
    <xf numFmtId="0" fontId="49" fillId="0" borderId="18" xfId="0" applyFont="1" applyFill="1" applyBorder="1" applyAlignment="1" applyProtection="1">
      <alignment horizontal="center" vertical="center" textRotation="255" wrapText="1"/>
    </xf>
    <xf numFmtId="0" fontId="49" fillId="0" borderId="19" xfId="0" applyFont="1" applyFill="1" applyBorder="1" applyAlignment="1" applyProtection="1">
      <alignment horizontal="center" vertical="center" textRotation="255" wrapText="1"/>
    </xf>
    <xf numFmtId="0" fontId="49" fillId="0" borderId="20" xfId="0" applyFont="1" applyFill="1" applyBorder="1" applyAlignment="1" applyProtection="1">
      <alignment horizontal="center" vertical="center" textRotation="255" wrapText="1"/>
    </xf>
    <xf numFmtId="0" fontId="23" fillId="36" borderId="44" xfId="0" applyFont="1" applyFill="1" applyBorder="1" applyAlignment="1" applyProtection="1">
      <alignment horizontal="center" vertical="center" wrapText="1"/>
      <protection locked="0"/>
    </xf>
    <xf numFmtId="0" fontId="23" fillId="36" borderId="46" xfId="0" applyFont="1" applyFill="1" applyBorder="1" applyAlignment="1" applyProtection="1">
      <alignment horizontal="center" vertical="center" wrapText="1"/>
      <protection locked="0"/>
    </xf>
    <xf numFmtId="176" fontId="23" fillId="0" borderId="10" xfId="0" applyNumberFormat="1"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0" fontId="22" fillId="0" borderId="10" xfId="0"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21" fillId="0" borderId="0" xfId="0" applyFont="1" applyBorder="1" applyAlignment="1" applyProtection="1">
      <alignment horizontal="right" vertical="center" wrapText="1"/>
    </xf>
    <xf numFmtId="0" fontId="57" fillId="0" borderId="12" xfId="0" applyFont="1" applyBorder="1" applyAlignment="1" applyProtection="1">
      <alignment horizontal="left" vertical="center"/>
    </xf>
    <xf numFmtId="0" fontId="57" fillId="0" borderId="11" xfId="0" applyFont="1" applyBorder="1" applyAlignment="1" applyProtection="1">
      <alignment horizontal="left" vertical="center"/>
    </xf>
    <xf numFmtId="0" fontId="21" fillId="0" borderId="0" xfId="0" applyFont="1" applyFill="1" applyBorder="1" applyAlignment="1" applyProtection="1">
      <alignment horizontal="left" vertical="center" shrinkToFit="1"/>
    </xf>
    <xf numFmtId="0" fontId="21" fillId="0" borderId="0" xfId="0" applyFont="1" applyAlignment="1" applyProtection="1">
      <alignment horizontal="justify"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7" fillId="0" borderId="12" xfId="0" applyFont="1" applyBorder="1" applyAlignment="1" applyProtection="1">
      <alignment horizontal="left" vertical="center" wrapText="1" shrinkToFit="1"/>
    </xf>
    <xf numFmtId="0" fontId="57" fillId="0" borderId="11" xfId="0" applyFont="1" applyBorder="1" applyAlignment="1" applyProtection="1">
      <alignment horizontal="left" vertical="center" wrapText="1" shrinkToFit="1"/>
    </xf>
    <xf numFmtId="0" fontId="57" fillId="0" borderId="14" xfId="0" applyFont="1" applyBorder="1" applyAlignment="1" applyProtection="1">
      <alignment horizontal="left" vertical="center"/>
    </xf>
    <xf numFmtId="0" fontId="57" fillId="0" borderId="16" xfId="0" applyFont="1" applyBorder="1" applyAlignment="1" applyProtection="1">
      <alignment horizontal="left" vertical="center"/>
    </xf>
    <xf numFmtId="49" fontId="30" fillId="35" borderId="100" xfId="0" quotePrefix="1" applyNumberFormat="1" applyFont="1" applyFill="1" applyBorder="1" applyAlignment="1" applyProtection="1">
      <alignment horizontal="center" vertical="center" wrapText="1"/>
      <protection locked="0"/>
    </xf>
    <xf numFmtId="0" fontId="39" fillId="0" borderId="12" xfId="0" applyFont="1" applyBorder="1" applyAlignment="1" applyProtection="1">
      <alignment horizontal="center" vertical="center" textRotation="255"/>
    </xf>
    <xf numFmtId="0" fontId="23" fillId="0" borderId="10" xfId="0" applyFont="1" applyBorder="1" applyAlignment="1" applyProtection="1">
      <alignment horizontal="left" vertical="center" wrapText="1"/>
    </xf>
    <xf numFmtId="176" fontId="23" fillId="0" borderId="10" xfId="0" applyNumberFormat="1" applyFont="1" applyBorder="1" applyAlignment="1" applyProtection="1">
      <alignment horizontal="center" vertical="center" wrapText="1"/>
    </xf>
    <xf numFmtId="181" fontId="26" fillId="33" borderId="10" xfId="0" applyNumberFormat="1" applyFont="1" applyFill="1" applyBorder="1" applyAlignment="1" applyProtection="1">
      <alignment horizontal="center" vertical="center" wrapText="1" shrinkToFit="1"/>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176" fontId="23" fillId="33" borderId="81" xfId="0" applyNumberFormat="1" applyFont="1" applyFill="1" applyBorder="1" applyAlignment="1" applyProtection="1">
      <alignment horizontal="center" vertical="center" wrapText="1"/>
    </xf>
    <xf numFmtId="0" fontId="23" fillId="0" borderId="18"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8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76" fontId="23" fillId="0" borderId="80" xfId="0" applyNumberFormat="1"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39" fillId="0" borderId="18" xfId="0" applyFont="1" applyBorder="1" applyAlignment="1" applyProtection="1">
      <alignment horizontal="center" vertical="center" textRotation="255"/>
    </xf>
    <xf numFmtId="0" fontId="39" fillId="0" borderId="19" xfId="0" applyFont="1" applyBorder="1" applyAlignment="1" applyProtection="1">
      <alignment horizontal="center" vertical="center" textRotation="255"/>
    </xf>
    <xf numFmtId="0" fontId="39" fillId="0" borderId="25" xfId="0" applyFont="1" applyBorder="1" applyAlignment="1" applyProtection="1">
      <alignment horizontal="center" vertical="center" textRotation="255"/>
    </xf>
    <xf numFmtId="177" fontId="23" fillId="33" borderId="18" xfId="0" applyNumberFormat="1" applyFont="1" applyFill="1" applyBorder="1" applyAlignment="1" applyProtection="1">
      <alignment horizontal="center" vertical="center" wrapText="1"/>
    </xf>
    <xf numFmtId="177" fontId="23" fillId="33" borderId="19"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left" vertical="center" wrapText="1"/>
    </xf>
    <xf numFmtId="0" fontId="43" fillId="0" borderId="16"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176" fontId="30" fillId="0" borderId="75" xfId="0" applyNumberFormat="1" applyFont="1" applyBorder="1" applyAlignment="1" applyProtection="1">
      <alignment horizontal="center" vertical="center" wrapText="1"/>
    </xf>
    <xf numFmtId="176" fontId="30" fillId="0" borderId="19" xfId="0" applyNumberFormat="1" applyFont="1" applyBorder="1" applyAlignment="1" applyProtection="1">
      <alignment horizontal="center" vertical="center" wrapText="1"/>
    </xf>
    <xf numFmtId="176" fontId="30" fillId="0" borderId="20" xfId="0" applyNumberFormat="1" applyFont="1" applyBorder="1" applyAlignment="1" applyProtection="1">
      <alignment horizontal="center" vertical="center" wrapText="1"/>
    </xf>
    <xf numFmtId="0" fontId="24" fillId="0" borderId="20" xfId="0" applyFont="1" applyFill="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75"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39" fillId="0" borderId="74" xfId="0" applyFont="1" applyFill="1" applyBorder="1" applyAlignment="1" applyProtection="1">
      <alignment horizontal="center" vertical="center" textRotation="255"/>
    </xf>
    <xf numFmtId="0" fontId="39" fillId="0" borderId="78" xfId="0" applyFont="1" applyFill="1" applyBorder="1" applyAlignment="1" applyProtection="1">
      <alignment horizontal="center" vertical="center" textRotation="255"/>
    </xf>
    <xf numFmtId="0" fontId="39" fillId="0" borderId="79" xfId="0" applyFont="1" applyFill="1" applyBorder="1" applyAlignment="1" applyProtection="1">
      <alignment horizontal="center" vertical="center" textRotation="255"/>
    </xf>
    <xf numFmtId="0" fontId="39" fillId="0" borderId="10" xfId="0" applyFont="1" applyFill="1" applyBorder="1" applyAlignment="1" applyProtection="1">
      <alignment horizontal="center" vertical="center" textRotation="255"/>
    </xf>
    <xf numFmtId="0" fontId="39" fillId="0" borderId="12" xfId="0" applyFont="1" applyFill="1" applyBorder="1" applyAlignment="1" applyProtection="1">
      <alignment horizontal="center" vertical="center" textRotation="255"/>
    </xf>
    <xf numFmtId="0" fontId="23" fillId="0" borderId="12"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43" xfId="0" applyFont="1" applyBorder="1" applyAlignment="1" applyProtection="1">
      <alignment horizontal="left" vertical="center"/>
    </xf>
    <xf numFmtId="0" fontId="52" fillId="0" borderId="24" xfId="0" applyFont="1" applyFill="1" applyBorder="1" applyAlignment="1" applyProtection="1">
      <alignment horizontal="center" vertical="center" wrapText="1" shrinkToFit="1"/>
    </xf>
    <xf numFmtId="0" fontId="52" fillId="0" borderId="23" xfId="0" applyFont="1" applyFill="1" applyBorder="1" applyAlignment="1" applyProtection="1">
      <alignment horizontal="center" vertical="center" wrapText="1" shrinkToFit="1"/>
    </xf>
    <xf numFmtId="0" fontId="26" fillId="0" borderId="24" xfId="0" applyFont="1" applyBorder="1" applyAlignment="1" applyProtection="1">
      <alignment horizontal="left" vertical="center" wrapText="1"/>
    </xf>
    <xf numFmtId="0" fontId="26" fillId="0" borderId="62" xfId="0" applyFont="1" applyBorder="1" applyAlignment="1" applyProtection="1">
      <alignment horizontal="left" vertical="center" wrapText="1"/>
    </xf>
    <xf numFmtId="176" fontId="23" fillId="33" borderId="75" xfId="0" applyNumberFormat="1" applyFont="1" applyFill="1" applyBorder="1" applyAlignment="1" applyProtection="1">
      <alignment horizontal="center" vertical="center" wrapText="1"/>
    </xf>
    <xf numFmtId="181" fontId="19" fillId="0" borderId="18" xfId="0" applyNumberFormat="1" applyFont="1" applyBorder="1" applyAlignment="1" applyProtection="1">
      <alignment horizontal="right" vertical="center"/>
    </xf>
    <xf numFmtId="181" fontId="19" fillId="0" borderId="55" xfId="0" applyNumberFormat="1" applyFont="1" applyBorder="1" applyAlignment="1" applyProtection="1">
      <alignment horizontal="right" vertical="center"/>
    </xf>
    <xf numFmtId="180" fontId="19" fillId="38" borderId="49"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180" fontId="19" fillId="38" borderId="57" xfId="0" applyNumberFormat="1" applyFont="1" applyFill="1" applyBorder="1" applyAlignment="1" applyProtection="1">
      <alignment horizontal="right" vertical="center"/>
    </xf>
    <xf numFmtId="0" fontId="26" fillId="0" borderId="81" xfId="0" applyFont="1" applyFill="1" applyBorder="1" applyAlignment="1" applyProtection="1">
      <alignment horizontal="left" vertical="center" wrapText="1"/>
    </xf>
    <xf numFmtId="0" fontId="26" fillId="0" borderId="89"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0" fontId="26" fillId="0" borderId="76" xfId="0" applyFont="1" applyBorder="1" applyAlignment="1" applyProtection="1">
      <alignment horizontal="left" vertical="center" wrapText="1"/>
    </xf>
    <xf numFmtId="0" fontId="26" fillId="0" borderId="88" xfId="0" applyFont="1" applyBorder="1" applyAlignment="1" applyProtection="1">
      <alignment horizontal="left" vertical="center" wrapText="1"/>
    </xf>
    <xf numFmtId="0" fontId="26" fillId="0" borderId="77" xfId="0" applyFont="1" applyBorder="1" applyAlignment="1" applyProtection="1">
      <alignment horizontal="left" vertical="center" wrapText="1"/>
    </xf>
    <xf numFmtId="180" fontId="19" fillId="38" borderId="46" xfId="0" applyNumberFormat="1" applyFont="1" applyFill="1" applyBorder="1" applyAlignment="1" applyProtection="1">
      <alignment horizontal="right" vertical="center"/>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23" fillId="35" borderId="30" xfId="0" applyFont="1" applyFill="1" applyBorder="1" applyAlignment="1" applyProtection="1">
      <alignment horizontal="center" vertical="center" shrinkToFit="1"/>
      <protection locked="0"/>
    </xf>
    <xf numFmtId="0" fontId="23" fillId="35" borderId="50"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center" vertical="center" wrapText="1"/>
      <protection locked="0"/>
    </xf>
    <xf numFmtId="0" fontId="23" fillId="36" borderId="50"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3" xfId="0" applyFont="1" applyBorder="1" applyAlignment="1" applyProtection="1">
      <alignment horizontal="center" vertical="center"/>
    </xf>
    <xf numFmtId="0" fontId="19" fillId="0" borderId="19" xfId="0" applyFont="1" applyBorder="1" applyAlignment="1" applyProtection="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FFF99"/>
      <color rgb="FF00FFFF"/>
      <color rgb="FF66FFFF"/>
      <color rgb="FFFFCC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1633</xdr:colOff>
      <xdr:row>23</xdr:row>
      <xdr:rowOff>44448</xdr:rowOff>
    </xdr:from>
    <xdr:to>
      <xdr:col>5</xdr:col>
      <xdr:colOff>2862943</xdr:colOff>
      <xdr:row>51</xdr:row>
      <xdr:rowOff>38100</xdr:rowOff>
    </xdr:to>
    <xdr:sp macro="" textlink="">
      <xdr:nvSpPr>
        <xdr:cNvPr id="2" name="テキスト ボックス 1"/>
        <xdr:cNvSpPr txBox="1"/>
      </xdr:nvSpPr>
      <xdr:spPr>
        <a:xfrm>
          <a:off x="306433" y="8426448"/>
          <a:ext cx="8004810" cy="470535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＜様式第６～８号に関する記載留意事項＞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なお、下記①～③に該当する場合、加算点欄が”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”表示されます。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①各項目の必要事項の入力が不十分な場合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②”入札参加者の所在地”が、地域要件ごとの評価対象エリアに該当しない場合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（「ボランティア活動」及び「選択項目」は評価対象外で”－”で表示。）</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ME</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のため”－”で表示されます。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次のとおり取り扱う。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①＜基本データ＞の「同一発注種別」、「地域要件」、「工事箇所の所在する市町村」の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に誤りがある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判断される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場合は、発注者が正しい条件で加算点を修正するものとする。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評価した場合は、当該評価項目について、発注者が正しい加算点に修正するものとする。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（例：記載した工事概要が、評価基準に該当しないなど）</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評価した場合は、当該評価項目について、記載された加算点により評価する。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（例：委任なし支店等があるのに、選択していないなど）</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４．落札候補者のみ、提出した技術提案書を事後確認資料で確認します。そのため、評価値が２位以下の者については、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事後確認を行わないため、公表する加算点及び評価値は正しいものとは限りません。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38100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137160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213360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708660</xdr:colOff>
          <xdr:row>3</xdr:row>
          <xdr:rowOff>304800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342900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213360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1775460</xdr:colOff>
          <xdr:row>4</xdr:row>
          <xdr:rowOff>175260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144780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304800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68580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342900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7</xdr:col>
      <xdr:colOff>0</xdr:colOff>
      <xdr:row>18</xdr:row>
      <xdr:rowOff>0</xdr:rowOff>
    </xdr:from>
    <xdr:to>
      <xdr:col>11</xdr:col>
      <xdr:colOff>1022725</xdr:colOff>
      <xdr:row>52</xdr:row>
      <xdr:rowOff>0</xdr:rowOff>
    </xdr:to>
    <xdr:sp macro="" textlink="">
      <xdr:nvSpPr>
        <xdr:cNvPr id="20" name="テキスト ボックス 19"/>
        <xdr:cNvSpPr txBox="1"/>
      </xdr:nvSpPr>
      <xdr:spPr>
        <a:xfrm>
          <a:off x="9029700" y="6477000"/>
          <a:ext cx="6864725" cy="6781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令和４年４月１日以降に入札公告された案件に適用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２．項目①及び②に入力されたデータが、様式第１号及び各様式へ反映されます。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３．項目①及び②を入力後は、様式第１号及び各様式（上部の工事番号、工事名、</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４．様式第６～８号の黄色セルを入力又は選択してください。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５．様式第９号は本ファイル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の他に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形式もありますので、</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いずれかを使用し提出してください。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６．技術提案書（様式第１号、様式第６～９号）を提出する際の注意！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ＰＤＦ形式で提出→様式第１号及び様式第６～９号を提出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様式９号を</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形式で作成した場合は、</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形式も</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一緒に提出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12</xdr:col>
      <xdr:colOff>609600</xdr:colOff>
      <xdr:row>10</xdr:row>
      <xdr:rowOff>231912</xdr:rowOff>
    </xdr:to>
    <xdr:sp macro="" textlink="">
      <xdr:nvSpPr>
        <xdr:cNvPr id="2" name="テキスト ボックス 1"/>
        <xdr:cNvSpPr txBox="1"/>
      </xdr:nvSpPr>
      <xdr:spPr>
        <a:xfrm>
          <a:off x="6286500" y="182880"/>
          <a:ext cx="4930140" cy="2220732"/>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基本シートの項目①への入力データが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10584</xdr:colOff>
      <xdr:row>0</xdr:row>
      <xdr:rowOff>10583</xdr:rowOff>
    </xdr:from>
    <xdr:to>
      <xdr:col>25</xdr:col>
      <xdr:colOff>490994</xdr:colOff>
      <xdr:row>1</xdr:row>
      <xdr:rowOff>82019</xdr:rowOff>
    </xdr:to>
    <xdr:sp macro="" textlink="">
      <xdr:nvSpPr>
        <xdr:cNvPr id="5" name="テキスト ボックス 4"/>
        <xdr:cNvSpPr txBox="1"/>
      </xdr:nvSpPr>
      <xdr:spPr>
        <a:xfrm>
          <a:off x="10456334" y="10583"/>
          <a:ext cx="4967743" cy="388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Ｕ列以降は、計算用なので絶対に触らないこと。</a:t>
          </a:r>
        </a:p>
      </xdr:txBody>
    </xdr:sp>
    <xdr:clientData/>
  </xdr:twoCellAnchor>
  <xdr:twoCellAnchor>
    <xdr:from>
      <xdr:col>19</xdr:col>
      <xdr:colOff>0</xdr:colOff>
      <xdr:row>1</xdr:row>
      <xdr:rowOff>63500</xdr:rowOff>
    </xdr:from>
    <xdr:to>
      <xdr:col>24</xdr:col>
      <xdr:colOff>406400</xdr:colOff>
      <xdr:row>4</xdr:row>
      <xdr:rowOff>165100</xdr:rowOff>
    </xdr:to>
    <xdr:sp macro="" textlink="">
      <xdr:nvSpPr>
        <xdr:cNvPr id="3" name="テキスト ボックス 2"/>
        <xdr:cNvSpPr txBox="1"/>
      </xdr:nvSpPr>
      <xdr:spPr>
        <a:xfrm>
          <a:off x="8902700" y="381000"/>
          <a:ext cx="5029200" cy="685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様式第６～８号を入力するようにしてください。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tabSelected="1" view="pageBreakPreview" zoomScale="60" zoomScaleNormal="60" workbookViewId="0">
      <selection activeCell="D5" sqref="D5:E5"/>
    </sheetView>
  </sheetViews>
  <sheetFormatPr defaultColWidth="9" defaultRowHeight="13.2" x14ac:dyDescent="0.2"/>
  <cols>
    <col min="1" max="1" width="2" style="19" customWidth="1"/>
    <col min="2" max="2" width="2.44140625" style="19" customWidth="1"/>
    <col min="3" max="3" width="30.109375" style="19" customWidth="1"/>
    <col min="4" max="5" width="22.33203125" style="19" customWidth="1"/>
    <col min="6" max="6" width="41.77734375" style="19" customWidth="1"/>
    <col min="7" max="7" width="10.44140625" style="19" customWidth="1"/>
    <col min="8" max="8" width="39.44140625" style="19" customWidth="1"/>
    <col min="9" max="9" width="15.109375" style="19" customWidth="1"/>
    <col min="10" max="10" width="17.21875" style="19" customWidth="1"/>
    <col min="11" max="11" width="13.33203125" style="19" customWidth="1"/>
    <col min="12" max="12" width="15.33203125" style="19" customWidth="1"/>
    <col min="13" max="14" width="9.88671875" style="19" customWidth="1"/>
    <col min="15" max="15" width="27.44140625" style="19" customWidth="1"/>
    <col min="16" max="16" width="9" style="19"/>
    <col min="17" max="17" width="16.88671875" style="19" bestFit="1" customWidth="1"/>
    <col min="18" max="16384" width="9" style="19"/>
  </cols>
  <sheetData>
    <row r="1" spans="1:15" ht="20.100000000000001" customHeight="1" x14ac:dyDescent="0.2">
      <c r="A1" s="33"/>
      <c r="B1" s="33"/>
      <c r="C1" s="285" t="s">
        <v>433</v>
      </c>
      <c r="D1" s="285"/>
      <c r="E1" s="285"/>
      <c r="F1" s="285"/>
      <c r="G1" s="33"/>
      <c r="H1" s="33"/>
      <c r="I1" s="33"/>
      <c r="J1" s="33"/>
      <c r="K1" s="33"/>
      <c r="L1" s="33"/>
      <c r="M1" s="33"/>
      <c r="N1" s="33"/>
      <c r="O1" s="33"/>
    </row>
    <row r="2" spans="1:15" ht="20.100000000000001" customHeight="1" x14ac:dyDescent="0.2">
      <c r="C2" s="215" t="s">
        <v>412</v>
      </c>
    </row>
    <row r="3" spans="1:15" ht="20.100000000000001" customHeight="1" x14ac:dyDescent="0.2">
      <c r="B3" s="215"/>
      <c r="C3" s="248" t="s">
        <v>413</v>
      </c>
    </row>
    <row r="4" spans="1:15" ht="30" customHeight="1" x14ac:dyDescent="0.2">
      <c r="B4" s="215"/>
      <c r="C4" s="216" t="s">
        <v>391</v>
      </c>
      <c r="D4" s="286" t="s">
        <v>392</v>
      </c>
      <c r="E4" s="287"/>
      <c r="F4" s="216" t="s">
        <v>393</v>
      </c>
      <c r="H4" s="217" t="s">
        <v>394</v>
      </c>
    </row>
    <row r="5" spans="1:15" ht="30" customHeight="1" x14ac:dyDescent="0.2">
      <c r="B5" s="215"/>
      <c r="C5" s="218" t="s">
        <v>395</v>
      </c>
      <c r="D5" s="288" t="s">
        <v>396</v>
      </c>
      <c r="E5" s="289"/>
      <c r="F5" s="219" t="s">
        <v>397</v>
      </c>
      <c r="H5" s="167" t="str">
        <f t="shared" ref="H5:H10" si="0">D5</f>
        <v>令和○年○月○日</v>
      </c>
    </row>
    <row r="6" spans="1:15" ht="30" customHeight="1" x14ac:dyDescent="0.2">
      <c r="B6" s="215"/>
      <c r="C6" s="29" t="s">
        <v>398</v>
      </c>
      <c r="D6" s="283" t="s">
        <v>399</v>
      </c>
      <c r="E6" s="284"/>
      <c r="F6" s="29" t="s">
        <v>400</v>
      </c>
      <c r="H6" s="167" t="str">
        <f t="shared" si="0"/>
        <v>○○市○○町○○番地</v>
      </c>
    </row>
    <row r="7" spans="1:15" ht="30" customHeight="1" x14ac:dyDescent="0.2">
      <c r="B7" s="215"/>
      <c r="C7" s="29" t="s">
        <v>401</v>
      </c>
      <c r="D7" s="290" t="s">
        <v>376</v>
      </c>
      <c r="E7" s="291"/>
      <c r="F7" s="29" t="s">
        <v>402</v>
      </c>
      <c r="H7" s="167" t="str">
        <f t="shared" si="0"/>
        <v>株式会社○○○○</v>
      </c>
    </row>
    <row r="8" spans="1:15" ht="30" customHeight="1" x14ac:dyDescent="0.2">
      <c r="B8" s="215"/>
      <c r="C8" s="29" t="s">
        <v>403</v>
      </c>
      <c r="D8" s="283" t="s">
        <v>404</v>
      </c>
      <c r="E8" s="284"/>
      <c r="F8" s="29" t="s">
        <v>402</v>
      </c>
      <c r="H8" s="167" t="str">
        <f t="shared" si="0"/>
        <v>代表取締役　○○○○</v>
      </c>
    </row>
    <row r="9" spans="1:15" ht="30" customHeight="1" x14ac:dyDescent="0.2">
      <c r="B9" s="215"/>
      <c r="C9" s="29" t="s">
        <v>405</v>
      </c>
      <c r="D9" s="283" t="s">
        <v>406</v>
      </c>
      <c r="E9" s="284"/>
      <c r="F9" s="29" t="s">
        <v>402</v>
      </c>
      <c r="H9" s="167" t="str">
        <f t="shared" si="0"/>
        <v>000-000-0000</v>
      </c>
    </row>
    <row r="10" spans="1:15" ht="30" customHeight="1" x14ac:dyDescent="0.2">
      <c r="B10" s="215"/>
      <c r="C10" s="29" t="s">
        <v>407</v>
      </c>
      <c r="D10" s="283" t="s">
        <v>408</v>
      </c>
      <c r="E10" s="284"/>
      <c r="F10" s="29" t="s">
        <v>402</v>
      </c>
      <c r="H10" s="167" t="str">
        <f t="shared" si="0"/>
        <v>○○○○</v>
      </c>
    </row>
    <row r="11" spans="1:15" ht="30" customHeight="1" x14ac:dyDescent="0.2">
      <c r="B11" s="215"/>
      <c r="C11" s="29" t="s">
        <v>409</v>
      </c>
      <c r="D11" s="283" t="s">
        <v>410</v>
      </c>
      <c r="E11" s="284"/>
      <c r="F11" s="220" t="s">
        <v>411</v>
      </c>
      <c r="H11" s="167" t="str">
        <f>D11</f>
        <v>○○・△△特定建設共同企業体</v>
      </c>
    </row>
    <row r="12" spans="1:15" s="107" customFormat="1" ht="30" customHeight="1" x14ac:dyDescent="0.2">
      <c r="C12" s="216" t="s">
        <v>415</v>
      </c>
      <c r="D12" s="286" t="s">
        <v>416</v>
      </c>
      <c r="E12" s="287"/>
      <c r="F12" s="216" t="s">
        <v>138</v>
      </c>
      <c r="H12" s="217" t="s">
        <v>418</v>
      </c>
    </row>
    <row r="13" spans="1:15" s="249" customFormat="1" ht="30" customHeight="1" x14ac:dyDescent="0.2">
      <c r="C13" s="250" t="s">
        <v>137</v>
      </c>
      <c r="D13" s="288" t="s">
        <v>295</v>
      </c>
      <c r="E13" s="289"/>
      <c r="F13" s="222" t="s">
        <v>417</v>
      </c>
      <c r="G13" s="251"/>
      <c r="H13" s="167" t="str">
        <f t="shared" ref="H13:H15" si="1">D13</f>
        <v>令和○年○月○日</v>
      </c>
      <c r="I13" s="170"/>
      <c r="J13" s="170"/>
    </row>
    <row r="14" spans="1:15" s="249" customFormat="1" ht="30" customHeight="1" x14ac:dyDescent="0.2">
      <c r="C14" s="252" t="s">
        <v>135</v>
      </c>
      <c r="D14" s="298" t="s">
        <v>143</v>
      </c>
      <c r="E14" s="299"/>
      <c r="F14" s="167"/>
      <c r="G14" s="251"/>
      <c r="H14" s="167" t="str">
        <f t="shared" si="1"/>
        <v xml:space="preserve">第○○-○○○○○-○○○○号 </v>
      </c>
      <c r="I14" s="170"/>
      <c r="J14" s="170"/>
    </row>
    <row r="15" spans="1:15" s="249" customFormat="1" ht="30" customHeight="1" x14ac:dyDescent="0.2">
      <c r="C15" s="253" t="s">
        <v>136</v>
      </c>
      <c r="D15" s="296" t="s">
        <v>390</v>
      </c>
      <c r="E15" s="297"/>
      <c r="F15" s="167"/>
      <c r="G15" s="251"/>
      <c r="H15" s="167" t="str">
        <f t="shared" si="1"/>
        <v>○○○○○○○○○○○○工事</v>
      </c>
      <c r="I15" s="170"/>
      <c r="J15" s="170"/>
    </row>
    <row r="16" spans="1:15" s="107" customFormat="1" ht="30" customHeight="1" x14ac:dyDescent="0.2">
      <c r="C16" s="254" t="s">
        <v>234</v>
      </c>
      <c r="D16" s="294"/>
      <c r="E16" s="295"/>
      <c r="F16" s="235" t="s">
        <v>436</v>
      </c>
      <c r="H16" s="171">
        <f>IF(OR(D16="一般土木工事",D16="舗装工事"),1,10)</f>
        <v>10</v>
      </c>
      <c r="I16" s="107" t="s">
        <v>222</v>
      </c>
    </row>
    <row r="17" spans="3:9" s="107" customFormat="1" ht="30" customHeight="1" x14ac:dyDescent="0.2">
      <c r="C17" s="253" t="s">
        <v>235</v>
      </c>
      <c r="D17" s="290"/>
      <c r="E17" s="291"/>
      <c r="F17" s="235"/>
      <c r="H17" s="171" t="e">
        <f>VLOOKUP(D17,リスト2!G3:I7,3,FALSE)</f>
        <v>#N/A</v>
      </c>
      <c r="I17" s="107" t="s">
        <v>282</v>
      </c>
    </row>
    <row r="18" spans="3:9" s="107" customFormat="1" ht="30" customHeight="1" x14ac:dyDescent="0.2">
      <c r="C18" s="292" t="s">
        <v>290</v>
      </c>
      <c r="D18" s="169" t="s">
        <v>125</v>
      </c>
      <c r="E18" s="169" t="s">
        <v>131</v>
      </c>
      <c r="F18" s="292" t="s">
        <v>293</v>
      </c>
    </row>
    <row r="19" spans="3:9" s="107" customFormat="1" ht="30" customHeight="1" x14ac:dyDescent="0.2">
      <c r="C19" s="293"/>
      <c r="D19" s="221" t="s">
        <v>297</v>
      </c>
      <c r="E19" s="221" t="s">
        <v>297</v>
      </c>
      <c r="F19" s="293"/>
    </row>
    <row r="20" spans="3:9" s="107" customFormat="1" ht="30" customHeight="1" x14ac:dyDescent="0.2">
      <c r="C20" s="98" t="s">
        <v>133</v>
      </c>
      <c r="D20" s="168" t="str">
        <f>VLOOKUP(D19,リスト2!$C$3:$E$64,2,FALSE)</f>
        <v>-</v>
      </c>
      <c r="E20" s="168" t="str">
        <f>VLOOKUP(E19,リスト2!$C$3:$E$64,2,FALSE)</f>
        <v>-</v>
      </c>
      <c r="F20" s="168" t="s">
        <v>288</v>
      </c>
    </row>
    <row r="21" spans="3:9" s="107" customFormat="1" ht="30" customHeight="1" x14ac:dyDescent="0.2">
      <c r="C21" s="98" t="s">
        <v>134</v>
      </c>
      <c r="D21" s="168" t="str">
        <f>VLOOKUP(D19,リスト2!$C$3:$E$64,3,FALSE)</f>
        <v>-</v>
      </c>
      <c r="E21" s="168" t="str">
        <f>VLOOKUP(E19,リスト2!$C$3:$E$64,3,FALSE)</f>
        <v>-</v>
      </c>
      <c r="F21" s="168" t="s">
        <v>132</v>
      </c>
    </row>
    <row r="22" spans="3:9" s="107" customFormat="1" ht="30" customHeight="1" x14ac:dyDescent="0.2">
      <c r="F22" s="255" t="s">
        <v>289</v>
      </c>
    </row>
    <row r="23" spans="3:9" s="107" customFormat="1" ht="30" customHeight="1" x14ac:dyDescent="0.2">
      <c r="C23" s="168" t="s">
        <v>129</v>
      </c>
      <c r="D23" s="256" t="e">
        <f>'3.様式第6～8号(標準型)'!R1</f>
        <v>#N/A</v>
      </c>
      <c r="E23" s="168" t="s">
        <v>130</v>
      </c>
      <c r="F23" s="223" t="s">
        <v>414</v>
      </c>
    </row>
    <row r="24" spans="3:9" s="107" customFormat="1" ht="20.100000000000001" customHeight="1" x14ac:dyDescent="0.2"/>
    <row r="25" spans="3:9" s="107" customFormat="1" x14ac:dyDescent="0.2"/>
    <row r="26" spans="3:9" s="107" customFormat="1" x14ac:dyDescent="0.2"/>
    <row r="27" spans="3:9" s="107" customFormat="1" x14ac:dyDescent="0.2"/>
    <row r="28" spans="3:9" s="107" customFormat="1" x14ac:dyDescent="0.2"/>
    <row r="29" spans="3:9" s="107" customFormat="1" x14ac:dyDescent="0.2"/>
    <row r="30" spans="3:9" s="107" customFormat="1" x14ac:dyDescent="0.2"/>
    <row r="31" spans="3:9" s="107" customFormat="1" x14ac:dyDescent="0.2"/>
    <row r="32" spans="3:9" s="107" customFormat="1" x14ac:dyDescent="0.2"/>
    <row r="33" s="107" customFormat="1" x14ac:dyDescent="0.2"/>
  </sheetData>
  <sheetProtection password="BC50" sheet="1" objects="1" scenarios="1"/>
  <mergeCells count="17">
    <mergeCell ref="F18:F19"/>
    <mergeCell ref="D12:E12"/>
    <mergeCell ref="D16:E16"/>
    <mergeCell ref="D15:E15"/>
    <mergeCell ref="C18:C19"/>
    <mergeCell ref="D13:E13"/>
    <mergeCell ref="D14:E14"/>
    <mergeCell ref="D17:E17"/>
    <mergeCell ref="D9:E9"/>
    <mergeCell ref="D10:E10"/>
    <mergeCell ref="D11:E11"/>
    <mergeCell ref="C1:F1"/>
    <mergeCell ref="D4:E4"/>
    <mergeCell ref="D5:E5"/>
    <mergeCell ref="D6:E6"/>
    <mergeCell ref="D7:E7"/>
    <mergeCell ref="D8:E8"/>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38100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137160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213360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708660</xdr:colOff>
                    <xdr:row>3</xdr:row>
                    <xdr:rowOff>304800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342900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213360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144780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304800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68580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342900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1775460</xdr:colOff>
                    <xdr:row>4</xdr:row>
                    <xdr:rowOff>175260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リスト!$F$4:$F$21</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70" zoomScaleNormal="100" zoomScaleSheetLayoutView="70" workbookViewId="0">
      <selection activeCell="A2" sqref="A2:D2"/>
    </sheetView>
  </sheetViews>
  <sheetFormatPr defaultColWidth="9" defaultRowHeight="13.2" x14ac:dyDescent="0.2"/>
  <cols>
    <col min="1" max="1" width="33.6640625" style="257" customWidth="1"/>
    <col min="2" max="2" width="15.6640625" style="257" customWidth="1"/>
    <col min="3" max="3" width="29.6640625" style="257" customWidth="1"/>
    <col min="4" max="4" width="3.6640625" style="257" customWidth="1"/>
    <col min="5" max="16384" width="9" style="257"/>
  </cols>
  <sheetData>
    <row r="1" spans="1:9" ht="14.4" x14ac:dyDescent="0.2">
      <c r="A1" s="300" t="s">
        <v>21</v>
      </c>
      <c r="B1" s="300"/>
      <c r="C1" s="300"/>
      <c r="D1" s="300"/>
    </row>
    <row r="2" spans="1:9" ht="21" x14ac:dyDescent="0.2">
      <c r="A2" s="303" t="s">
        <v>7</v>
      </c>
      <c r="B2" s="303"/>
      <c r="C2" s="303"/>
      <c r="D2" s="303"/>
    </row>
    <row r="3" spans="1:9" ht="13.5" customHeight="1" x14ac:dyDescent="0.2">
      <c r="C3" s="305" t="str">
        <f>'1.基本データ(このシートは削除しないこと！)'!H5</f>
        <v>令和○年○月○日</v>
      </c>
      <c r="D3" s="305"/>
    </row>
    <row r="4" spans="1:9" ht="14.4" x14ac:dyDescent="0.2">
      <c r="A4" s="258"/>
      <c r="B4" s="258"/>
    </row>
    <row r="5" spans="1:9" ht="14.4" x14ac:dyDescent="0.2">
      <c r="A5" s="300" t="s">
        <v>20</v>
      </c>
      <c r="B5" s="300"/>
      <c r="C5" s="300"/>
      <c r="D5" s="300"/>
    </row>
    <row r="6" spans="1:9" ht="14.4" x14ac:dyDescent="0.2">
      <c r="A6" s="258"/>
      <c r="B6" s="258"/>
    </row>
    <row r="7" spans="1:9" ht="20.100000000000001" customHeight="1" x14ac:dyDescent="0.2">
      <c r="A7" s="258"/>
      <c r="B7" s="258"/>
      <c r="C7" s="306" t="str">
        <f>IF('1.基本データ(このシートは削除しないこと！)'!H11=0,"",'1.基本データ(このシートは削除しないこと！)'!H11)</f>
        <v>○○・△△特定建設共同企業体</v>
      </c>
      <c r="D7" s="306"/>
    </row>
    <row r="8" spans="1:9" ht="20.100000000000001" customHeight="1" x14ac:dyDescent="0.2">
      <c r="A8" s="258"/>
      <c r="B8" s="259" t="str">
        <f>IF('1.基本データ(このシートは削除しないこと！)'!H11=0," ","代表構成員")</f>
        <v>代表構成員</v>
      </c>
      <c r="C8" s="307" t="str">
        <f>'1.基本データ(このシートは削除しないこと！)'!H6</f>
        <v>○○市○○町○○番地</v>
      </c>
      <c r="D8" s="307"/>
    </row>
    <row r="9" spans="1:9" ht="20.100000000000001" customHeight="1" x14ac:dyDescent="0.2">
      <c r="B9" s="260" t="s">
        <v>8</v>
      </c>
      <c r="C9" s="307"/>
      <c r="D9" s="307"/>
    </row>
    <row r="10" spans="1:9" ht="20.100000000000001" customHeight="1" x14ac:dyDescent="0.2">
      <c r="B10" s="261" t="s">
        <v>9</v>
      </c>
      <c r="C10" s="308" t="str">
        <f>'1.基本データ(このシートは削除しないこと！)'!H7</f>
        <v>株式会社○○○○</v>
      </c>
      <c r="D10" s="308"/>
    </row>
    <row r="11" spans="1:9" ht="20.100000000000001" customHeight="1" x14ac:dyDescent="0.2">
      <c r="B11" s="261" t="s">
        <v>18</v>
      </c>
      <c r="C11" s="308" t="str">
        <f>'1.基本データ(このシートは削除しないこと！)'!H8</f>
        <v>代表取締役　○○○○</v>
      </c>
      <c r="D11" s="308"/>
    </row>
    <row r="12" spans="1:9" ht="20.100000000000001" customHeight="1" x14ac:dyDescent="0.2">
      <c r="B12" s="262"/>
      <c r="C12" s="263"/>
    </row>
    <row r="13" spans="1:9" ht="20.100000000000001" customHeight="1" x14ac:dyDescent="0.2">
      <c r="B13" s="262" t="s">
        <v>10</v>
      </c>
      <c r="C13" s="263" t="str">
        <f>'1.基本データ(このシートは削除しないこと！)'!H9</f>
        <v>000-000-0000</v>
      </c>
      <c r="G13" s="264"/>
      <c r="H13" s="264"/>
    </row>
    <row r="14" spans="1:9" ht="20.100000000000001" customHeight="1" x14ac:dyDescent="0.2">
      <c r="B14" s="262" t="s">
        <v>19</v>
      </c>
      <c r="C14" s="263" t="str">
        <f>'1.基本データ(このシートは削除しないこと！)'!H10</f>
        <v>○○○○</v>
      </c>
      <c r="D14" s="257" t="s">
        <v>17</v>
      </c>
    </row>
    <row r="15" spans="1:9" ht="14.4" x14ac:dyDescent="0.2">
      <c r="A15" s="258"/>
      <c r="B15" s="258"/>
    </row>
    <row r="16" spans="1:9" ht="83.25" customHeight="1" x14ac:dyDescent="0.2">
      <c r="A16" s="301"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6" s="301"/>
      <c r="C16" s="301"/>
      <c r="D16" s="301"/>
      <c r="I16" s="264"/>
    </row>
    <row r="17" spans="1:4" ht="14.25" customHeight="1" x14ac:dyDescent="0.2">
      <c r="A17" s="304" t="s">
        <v>11</v>
      </c>
      <c r="B17" s="304"/>
      <c r="C17" s="304"/>
      <c r="D17" s="304"/>
    </row>
    <row r="18" spans="1:4" ht="19.95" customHeight="1" x14ac:dyDescent="0.2">
      <c r="A18" s="302" t="s">
        <v>343</v>
      </c>
      <c r="B18" s="302"/>
      <c r="C18" s="302"/>
      <c r="D18" s="302"/>
    </row>
    <row r="19" spans="1:4" ht="19.95" customHeight="1" x14ac:dyDescent="0.2">
      <c r="A19" s="302" t="s">
        <v>341</v>
      </c>
      <c r="B19" s="302"/>
      <c r="C19" s="302"/>
      <c r="D19" s="302"/>
    </row>
    <row r="20" spans="1:4" ht="19.95" customHeight="1" x14ac:dyDescent="0.2">
      <c r="A20" s="302" t="s">
        <v>437</v>
      </c>
      <c r="B20" s="302"/>
      <c r="C20" s="302"/>
      <c r="D20" s="302"/>
    </row>
    <row r="21" spans="1:4" ht="14.25" customHeight="1" x14ac:dyDescent="0.2">
      <c r="A21" s="265"/>
      <c r="B21" s="265"/>
      <c r="C21" s="265"/>
      <c r="D21" s="265"/>
    </row>
    <row r="22" spans="1:4" ht="19.95" customHeight="1" x14ac:dyDescent="0.2">
      <c r="A22" s="302" t="s">
        <v>344</v>
      </c>
      <c r="B22" s="302"/>
      <c r="C22" s="302"/>
      <c r="D22" s="302"/>
    </row>
    <row r="23" spans="1:4" ht="19.95" customHeight="1" x14ac:dyDescent="0.2">
      <c r="A23" s="302" t="s">
        <v>342</v>
      </c>
      <c r="B23" s="302"/>
      <c r="C23" s="302"/>
      <c r="D23" s="302"/>
    </row>
    <row r="24" spans="1:4" ht="19.95" customHeight="1" x14ac:dyDescent="0.2">
      <c r="A24" s="302" t="s">
        <v>438</v>
      </c>
      <c r="B24" s="302"/>
      <c r="C24" s="302"/>
      <c r="D24" s="302"/>
    </row>
    <row r="25" spans="1:4" ht="14.25" customHeight="1" x14ac:dyDescent="0.2">
      <c r="A25" s="302"/>
      <c r="B25" s="302"/>
      <c r="C25" s="302"/>
      <c r="D25" s="302"/>
    </row>
    <row r="26" spans="1:4" ht="19.95" customHeight="1" x14ac:dyDescent="0.2">
      <c r="A26" s="300" t="s">
        <v>434</v>
      </c>
      <c r="B26" s="300"/>
      <c r="C26" s="300"/>
      <c r="D26" s="300"/>
    </row>
    <row r="27" spans="1:4" ht="19.95" customHeight="1" x14ac:dyDescent="0.2">
      <c r="A27" s="300" t="s">
        <v>12</v>
      </c>
      <c r="B27" s="300"/>
      <c r="C27" s="300"/>
      <c r="D27" s="300"/>
    </row>
    <row r="28" spans="1:4" ht="19.95" customHeight="1" x14ac:dyDescent="0.2">
      <c r="A28" s="300" t="s">
        <v>13</v>
      </c>
      <c r="B28" s="300"/>
      <c r="C28" s="300"/>
      <c r="D28" s="300"/>
    </row>
    <row r="29" spans="1:4" ht="19.95" customHeight="1" x14ac:dyDescent="0.2">
      <c r="A29" s="300" t="s">
        <v>14</v>
      </c>
      <c r="B29" s="300"/>
      <c r="C29" s="300"/>
      <c r="D29" s="300"/>
    </row>
    <row r="30" spans="1:4" ht="19.95" customHeight="1" x14ac:dyDescent="0.2">
      <c r="A30" s="300" t="s">
        <v>15</v>
      </c>
      <c r="B30" s="300"/>
      <c r="C30" s="300"/>
      <c r="D30" s="300"/>
    </row>
    <row r="31" spans="1:4" ht="14.25" customHeight="1" x14ac:dyDescent="0.2">
      <c r="A31" s="300"/>
      <c r="B31" s="300"/>
      <c r="C31" s="300"/>
      <c r="D31" s="300"/>
    </row>
    <row r="32" spans="1:4" ht="19.95" customHeight="1" x14ac:dyDescent="0.2">
      <c r="A32" s="300" t="s">
        <v>435</v>
      </c>
      <c r="B32" s="300"/>
      <c r="C32" s="300"/>
      <c r="D32" s="300"/>
    </row>
    <row r="33" spans="1:4" ht="19.95" customHeight="1" x14ac:dyDescent="0.2">
      <c r="A33" s="300" t="s">
        <v>12</v>
      </c>
      <c r="B33" s="300"/>
      <c r="C33" s="300"/>
      <c r="D33" s="300"/>
    </row>
    <row r="34" spans="1:4" ht="19.95" customHeight="1" x14ac:dyDescent="0.2">
      <c r="A34" s="300" t="s">
        <v>13</v>
      </c>
      <c r="B34" s="300"/>
      <c r="C34" s="300"/>
      <c r="D34" s="300"/>
    </row>
    <row r="35" spans="1:4" ht="19.95" customHeight="1" x14ac:dyDescent="0.2">
      <c r="A35" s="300" t="s">
        <v>14</v>
      </c>
      <c r="B35" s="300"/>
      <c r="C35" s="300"/>
      <c r="D35" s="300"/>
    </row>
    <row r="36" spans="1:4" ht="19.95" customHeight="1" x14ac:dyDescent="0.2">
      <c r="A36" s="300" t="s">
        <v>15</v>
      </c>
      <c r="B36" s="300"/>
      <c r="C36" s="300"/>
      <c r="D36" s="300"/>
    </row>
    <row r="37" spans="1:4" ht="19.95" customHeight="1" x14ac:dyDescent="0.2">
      <c r="A37" s="300" t="s">
        <v>16</v>
      </c>
      <c r="B37" s="300"/>
      <c r="C37" s="300"/>
      <c r="D37" s="300"/>
    </row>
    <row r="38" spans="1:4" ht="19.95" customHeight="1" x14ac:dyDescent="0.2">
      <c r="A38" s="300"/>
      <c r="B38" s="300"/>
      <c r="C38" s="300"/>
      <c r="D38" s="300"/>
    </row>
    <row r="39" spans="1:4" ht="19.95" customHeight="1" x14ac:dyDescent="0.2">
      <c r="A39" s="300"/>
      <c r="B39" s="300"/>
      <c r="C39" s="300"/>
      <c r="D39" s="300"/>
    </row>
  </sheetData>
  <sheetProtection password="BC50" sheet="1" objects="1" scenarios="1"/>
  <mergeCells count="31">
    <mergeCell ref="A25:D25"/>
    <mergeCell ref="A26:D26"/>
    <mergeCell ref="A1:D1"/>
    <mergeCell ref="A2:D2"/>
    <mergeCell ref="A5:D5"/>
    <mergeCell ref="A17:D17"/>
    <mergeCell ref="A18:D18"/>
    <mergeCell ref="A22:D22"/>
    <mergeCell ref="A23:D23"/>
    <mergeCell ref="A24:D24"/>
    <mergeCell ref="C3:D3"/>
    <mergeCell ref="C7:D7"/>
    <mergeCell ref="C8:D9"/>
    <mergeCell ref="C10:D10"/>
    <mergeCell ref="C11:D11"/>
    <mergeCell ref="A39:D39"/>
    <mergeCell ref="A16:D16"/>
    <mergeCell ref="A34:D34"/>
    <mergeCell ref="A35:D35"/>
    <mergeCell ref="A36:D36"/>
    <mergeCell ref="A37:D37"/>
    <mergeCell ref="A38:D38"/>
    <mergeCell ref="A28:D28"/>
    <mergeCell ref="A29:D29"/>
    <mergeCell ref="A30:D30"/>
    <mergeCell ref="A31:D31"/>
    <mergeCell ref="A32:D32"/>
    <mergeCell ref="A33:D33"/>
    <mergeCell ref="A27:D27"/>
    <mergeCell ref="A19:D19"/>
    <mergeCell ref="A20:D20"/>
  </mergeCells>
  <phoneticPr fontId="36"/>
  <printOptions horizontalCentered="1" verticalCentered="1"/>
  <pageMargins left="0.9055118110236221" right="0.905511811023622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5"/>
  <sheetViews>
    <sheetView showGridLines="0" view="pageBreakPreview" zoomScale="60" zoomScaleNormal="60" workbookViewId="0">
      <pane ySplit="1" topLeftCell="A2" activePane="bottomLeft" state="frozen"/>
      <selection pane="bottomLeft" activeCell="H6" sqref="H6:P6"/>
    </sheetView>
  </sheetViews>
  <sheetFormatPr defaultColWidth="8.88671875" defaultRowHeight="13.2" x14ac:dyDescent="0.2"/>
  <cols>
    <col min="1" max="1" width="2" style="19" customWidth="1"/>
    <col min="2" max="3" width="3.6640625" style="19" customWidth="1"/>
    <col min="4" max="4" width="13" style="19" customWidth="1"/>
    <col min="5" max="5" width="5.77734375" style="19" customWidth="1"/>
    <col min="6" max="6" width="6.21875" style="19" customWidth="1"/>
    <col min="7" max="7" width="24.44140625" style="19" customWidth="1"/>
    <col min="8" max="16" width="3.6640625" style="19" customWidth="1"/>
    <col min="17" max="17" width="11.88671875" style="19" customWidth="1"/>
    <col min="18" max="18" width="16.6640625" style="19" customWidth="1"/>
    <col min="19" max="20" width="9" style="19" customWidth="1"/>
    <col min="21" max="21" width="26.21875" style="19" customWidth="1"/>
    <col min="22" max="22" width="10.6640625" style="19" customWidth="1"/>
    <col min="23" max="23" width="12.21875" style="19" customWidth="1"/>
    <col min="24" max="24" width="9" style="19" customWidth="1"/>
    <col min="25" max="26" width="10.6640625" style="19" customWidth="1"/>
    <col min="27" max="29" width="9" style="19" customWidth="1"/>
    <col min="30" max="32" width="9.44140625" style="19" customWidth="1"/>
    <col min="33" max="33" width="12" style="19" customWidth="1"/>
    <col min="34" max="34" width="11.6640625" style="19" customWidth="1"/>
    <col min="35" max="35" width="11.77734375" style="19" customWidth="1"/>
    <col min="36" max="36" width="11.88671875" style="19" customWidth="1"/>
    <col min="37" max="37" width="12" style="19" customWidth="1"/>
    <col min="38" max="38" width="12.6640625" style="19" customWidth="1"/>
    <col min="39" max="40" width="12.21875" style="19" customWidth="1"/>
    <col min="41" max="41" width="12.109375" style="19" customWidth="1"/>
    <col min="42" max="42" width="11" style="19" customWidth="1"/>
    <col min="43" max="43" width="8.88671875" style="19"/>
    <col min="44" max="44" width="11.44140625" style="19" customWidth="1"/>
    <col min="45" max="49" width="8.88671875" style="19"/>
    <col min="50" max="50" width="11.44140625" style="19" customWidth="1"/>
    <col min="51" max="51" width="11.77734375" style="19" customWidth="1"/>
    <col min="52" max="16384" width="8.88671875" style="19"/>
  </cols>
  <sheetData>
    <row r="1" spans="1:41" ht="24.75" customHeight="1" thickTop="1" thickBot="1" x14ac:dyDescent="0.25">
      <c r="A1" s="15"/>
      <c r="B1" s="16"/>
      <c r="C1" s="16"/>
      <c r="D1" s="17"/>
      <c r="E1" s="17"/>
      <c r="F1" s="17"/>
      <c r="G1" s="17"/>
      <c r="H1" s="17"/>
      <c r="I1" s="17"/>
      <c r="J1" s="17"/>
      <c r="K1" s="17"/>
      <c r="L1" s="17"/>
      <c r="M1" s="17"/>
      <c r="N1" s="17"/>
      <c r="O1" s="17"/>
      <c r="P1" s="379" t="s">
        <v>4</v>
      </c>
      <c r="Q1" s="380"/>
      <c r="R1" s="18" t="e">
        <f>SUM(F6:F77)</f>
        <v>#N/A</v>
      </c>
    </row>
    <row r="2" spans="1:41" ht="16.05" customHeight="1" thickTop="1" x14ac:dyDescent="0.2">
      <c r="A2" s="20"/>
      <c r="B2" s="416" t="s">
        <v>268</v>
      </c>
      <c r="C2" s="416"/>
      <c r="D2" s="416"/>
      <c r="E2" s="416"/>
      <c r="F2" s="416"/>
      <c r="G2" s="416"/>
      <c r="H2" s="241"/>
      <c r="I2" s="241"/>
      <c r="J2" s="241"/>
      <c r="K2" s="241"/>
      <c r="L2" s="241"/>
      <c r="M2" s="241"/>
      <c r="N2" s="241"/>
      <c r="O2" s="241"/>
      <c r="P2" s="21"/>
      <c r="R2" s="193" t="s">
        <v>433</v>
      </c>
    </row>
    <row r="3" spans="1:41" ht="16.05" customHeight="1" x14ac:dyDescent="0.2">
      <c r="A3" s="20"/>
      <c r="B3" s="417" t="s">
        <v>144</v>
      </c>
      <c r="C3" s="417"/>
      <c r="D3" s="417"/>
      <c r="E3" s="420" t="str">
        <f>'1.基本データ(このシートは削除しないこと！)'!H14&amp;'1.基本データ(このシートは削除しないこと！)'!H15</f>
        <v>第○○-○○○○○-○○○○号 ○○○○○○○○○○○○工事</v>
      </c>
      <c r="F3" s="420"/>
      <c r="G3" s="420"/>
      <c r="H3" s="420"/>
      <c r="I3" s="420"/>
      <c r="J3" s="420"/>
      <c r="K3" s="420"/>
      <c r="L3" s="420"/>
      <c r="M3" s="420"/>
      <c r="N3" s="420"/>
      <c r="O3" s="420"/>
      <c r="P3" s="420"/>
      <c r="Q3" s="420"/>
    </row>
    <row r="4" spans="1:41" ht="16.05" customHeight="1" thickBot="1" x14ac:dyDescent="0.25">
      <c r="A4" s="20"/>
      <c r="B4" s="404" t="s">
        <v>145</v>
      </c>
      <c r="C4" s="404"/>
      <c r="D4" s="404"/>
      <c r="E4" s="23" t="str">
        <f>'1.基本データ(このシートは削除しないこと！)'!H7</f>
        <v>株式会社○○○○</v>
      </c>
      <c r="F4" s="20"/>
      <c r="G4" s="20"/>
      <c r="H4" s="20"/>
      <c r="I4" s="20"/>
      <c r="J4" s="20"/>
      <c r="K4" s="20"/>
      <c r="L4" s="20"/>
      <c r="M4" s="20"/>
      <c r="N4" s="20"/>
      <c r="O4" s="20"/>
      <c r="P4" s="20"/>
      <c r="Q4" s="20"/>
      <c r="R4" s="20"/>
    </row>
    <row r="5" spans="1:41" ht="22.5" customHeight="1" thickBot="1" x14ac:dyDescent="0.25">
      <c r="A5" s="20"/>
      <c r="B5" s="453" t="s">
        <v>2</v>
      </c>
      <c r="C5" s="453"/>
      <c r="D5" s="453"/>
      <c r="E5" s="24" t="s">
        <v>174</v>
      </c>
      <c r="F5" s="198" t="s">
        <v>3</v>
      </c>
      <c r="G5" s="454" t="s">
        <v>298</v>
      </c>
      <c r="H5" s="455"/>
      <c r="I5" s="455"/>
      <c r="J5" s="455"/>
      <c r="K5" s="455"/>
      <c r="L5" s="455"/>
      <c r="M5" s="455"/>
      <c r="N5" s="455"/>
      <c r="O5" s="455"/>
      <c r="P5" s="455"/>
      <c r="Q5" s="455"/>
      <c r="R5" s="456"/>
      <c r="U5" s="25" t="s">
        <v>141</v>
      </c>
      <c r="AA5" s="26"/>
      <c r="AB5" s="26"/>
      <c r="AC5" s="27" t="s">
        <v>176</v>
      </c>
      <c r="AD5" s="239" t="s">
        <v>177</v>
      </c>
      <c r="AF5" s="26"/>
      <c r="AG5" s="26"/>
      <c r="AO5" s="28" t="s">
        <v>178</v>
      </c>
    </row>
    <row r="6" spans="1:41" ht="32.1" customHeight="1" thickBot="1" x14ac:dyDescent="0.25">
      <c r="A6" s="20"/>
      <c r="B6" s="457" t="s">
        <v>228</v>
      </c>
      <c r="C6" s="462" t="s">
        <v>431</v>
      </c>
      <c r="D6" s="462"/>
      <c r="E6" s="388">
        <f>AC6</f>
        <v>1</v>
      </c>
      <c r="F6" s="411" t="str">
        <f>IF(X6=0,"-",AO6)</f>
        <v>-</v>
      </c>
      <c r="G6" s="173" t="s">
        <v>249</v>
      </c>
      <c r="H6" s="318"/>
      <c r="I6" s="319"/>
      <c r="J6" s="319"/>
      <c r="K6" s="319"/>
      <c r="L6" s="319"/>
      <c r="M6" s="319"/>
      <c r="N6" s="319"/>
      <c r="O6" s="319"/>
      <c r="P6" s="320"/>
      <c r="Q6" s="174" t="s">
        <v>308</v>
      </c>
      <c r="R6" s="412"/>
      <c r="U6" s="29">
        <f>IF(H6="",0,1)</f>
        <v>0</v>
      </c>
      <c r="V6" s="29">
        <f>IF(R6="",0,1)</f>
        <v>0</v>
      </c>
      <c r="W6" s="30"/>
      <c r="X6" s="31">
        <f>SUM(U6:V8)</f>
        <v>0</v>
      </c>
      <c r="Y6" s="32" t="s">
        <v>208</v>
      </c>
      <c r="Z6" s="33"/>
      <c r="AA6" s="34"/>
      <c r="AB6" s="35"/>
      <c r="AC6" s="36">
        <v>1</v>
      </c>
      <c r="AD6" s="37">
        <f>IF(X6=4,AC6,0)</f>
        <v>0</v>
      </c>
      <c r="AF6" s="34"/>
      <c r="AG6" s="34"/>
      <c r="AO6" s="38">
        <f>IF(X6=4,AD6,0)</f>
        <v>0</v>
      </c>
    </row>
    <row r="7" spans="1:41" ht="32.1" customHeight="1" thickBot="1" x14ac:dyDescent="0.25">
      <c r="A7" s="20"/>
      <c r="B7" s="458"/>
      <c r="C7" s="462"/>
      <c r="D7" s="462"/>
      <c r="E7" s="389"/>
      <c r="F7" s="411"/>
      <c r="G7" s="201" t="s">
        <v>425</v>
      </c>
      <c r="H7" s="321"/>
      <c r="I7" s="322"/>
      <c r="J7" s="322"/>
      <c r="K7" s="322"/>
      <c r="L7" s="179" t="s">
        <v>302</v>
      </c>
      <c r="M7" s="322"/>
      <c r="N7" s="322"/>
      <c r="O7" s="322"/>
      <c r="P7" s="323"/>
      <c r="Q7" s="377" t="s">
        <v>324</v>
      </c>
      <c r="R7" s="413"/>
      <c r="U7" s="29">
        <f>IF(AND(H7&lt;&gt;"",M7&lt;&gt;""),1,0)</f>
        <v>0</v>
      </c>
      <c r="V7" s="40"/>
      <c r="W7" s="33"/>
      <c r="X7" s="33"/>
      <c r="Y7" s="32"/>
      <c r="Z7" s="33"/>
      <c r="AA7" s="34"/>
      <c r="AB7" s="41"/>
      <c r="AC7" s="42"/>
      <c r="AD7" s="43"/>
      <c r="AF7" s="34"/>
      <c r="AG7" s="34"/>
      <c r="AH7" s="34"/>
      <c r="AI7" s="34"/>
      <c r="AK7" s="93" t="s">
        <v>170</v>
      </c>
      <c r="AL7" s="93" t="s">
        <v>153</v>
      </c>
      <c r="AO7" s="44"/>
    </row>
    <row r="8" spans="1:41" ht="32.1" customHeight="1" thickBot="1" x14ac:dyDescent="0.25">
      <c r="A8" s="20"/>
      <c r="B8" s="458"/>
      <c r="C8" s="462"/>
      <c r="D8" s="462"/>
      <c r="E8" s="389"/>
      <c r="F8" s="411"/>
      <c r="G8" s="45" t="s">
        <v>305</v>
      </c>
      <c r="H8" s="396"/>
      <c r="I8" s="397"/>
      <c r="J8" s="324" t="s">
        <v>304</v>
      </c>
      <c r="K8" s="325"/>
      <c r="L8" s="326" t="s">
        <v>372</v>
      </c>
      <c r="M8" s="327"/>
      <c r="N8" s="327"/>
      <c r="O8" s="280" t="s">
        <v>373</v>
      </c>
      <c r="P8" s="200" t="s">
        <v>374</v>
      </c>
      <c r="Q8" s="378"/>
      <c r="R8" s="414"/>
      <c r="U8" s="29">
        <f>IF(H8="",0,1)</f>
        <v>0</v>
      </c>
      <c r="V8" s="46"/>
      <c r="W8" s="33"/>
      <c r="X8" s="33"/>
      <c r="Z8" s="33"/>
      <c r="AA8" s="34"/>
      <c r="AB8" s="41"/>
      <c r="AC8" s="27" t="s">
        <v>170</v>
      </c>
      <c r="AD8" s="239" t="s">
        <v>153</v>
      </c>
      <c r="AF8" s="34"/>
      <c r="AG8" s="34"/>
      <c r="AH8" s="207" t="s">
        <v>419</v>
      </c>
      <c r="AI8" s="210"/>
      <c r="AJ8" s="209">
        <f>IF($H$11=AH8,1,0)</f>
        <v>0</v>
      </c>
      <c r="AK8" s="29">
        <v>0.75</v>
      </c>
      <c r="AL8" s="54">
        <f>AJ8*AK8</f>
        <v>0</v>
      </c>
      <c r="AO8" s="28" t="s">
        <v>173</v>
      </c>
    </row>
    <row r="9" spans="1:41" ht="32.1" customHeight="1" thickBot="1" x14ac:dyDescent="0.25">
      <c r="A9" s="20"/>
      <c r="B9" s="458"/>
      <c r="C9" s="462" t="s">
        <v>197</v>
      </c>
      <c r="D9" s="462"/>
      <c r="E9" s="388">
        <f>AC9</f>
        <v>1</v>
      </c>
      <c r="F9" s="460" t="str">
        <f>IF(X9=0,"-",AO9)</f>
        <v>-</v>
      </c>
      <c r="G9" s="201" t="s">
        <v>377</v>
      </c>
      <c r="H9" s="202" t="s">
        <v>299</v>
      </c>
      <c r="I9" s="281"/>
      <c r="J9" s="203" t="s">
        <v>300</v>
      </c>
      <c r="K9" s="333"/>
      <c r="L9" s="333"/>
      <c r="M9" s="203" t="s">
        <v>300</v>
      </c>
      <c r="N9" s="333"/>
      <c r="O9" s="333"/>
      <c r="P9" s="206" t="s">
        <v>301</v>
      </c>
      <c r="Q9" s="174" t="s">
        <v>308</v>
      </c>
      <c r="R9" s="412"/>
      <c r="U9" s="29">
        <f>IF(AND(I9&lt;&gt;"",K9&lt;&gt;"",N9&lt;&gt;""),1,0)</f>
        <v>0</v>
      </c>
      <c r="V9" s="29">
        <f>IF(R9="",0,1)</f>
        <v>0</v>
      </c>
      <c r="W9" s="30"/>
      <c r="X9" s="31">
        <f>SUM(U9:V11)</f>
        <v>0</v>
      </c>
      <c r="Y9" s="32" t="s">
        <v>208</v>
      </c>
      <c r="AA9" s="34"/>
      <c r="AB9" s="207" t="s">
        <v>420</v>
      </c>
      <c r="AC9" s="208">
        <v>1</v>
      </c>
      <c r="AD9" s="209">
        <f>IF($H$11=AB9,1,0)</f>
        <v>0</v>
      </c>
      <c r="AE9" s="29">
        <v>1</v>
      </c>
      <c r="AF9" s="54">
        <f>AD9*AE9</f>
        <v>0</v>
      </c>
      <c r="AH9" s="207" t="s">
        <v>303</v>
      </c>
      <c r="AI9" s="210"/>
      <c r="AJ9" s="209">
        <f>IF($H$11=AH9,1,0)</f>
        <v>0</v>
      </c>
      <c r="AK9" s="29">
        <v>0.5</v>
      </c>
      <c r="AL9" s="54">
        <f>AJ9*AK9</f>
        <v>0</v>
      </c>
      <c r="AO9" s="38">
        <f>IF(X9=4,MAX(AF9,AL8,AL9),0)</f>
        <v>0</v>
      </c>
    </row>
    <row r="10" spans="1:41" ht="32.1" customHeight="1" thickBot="1" x14ac:dyDescent="0.25">
      <c r="A10" s="20"/>
      <c r="B10" s="458"/>
      <c r="C10" s="462"/>
      <c r="D10" s="462"/>
      <c r="E10" s="389"/>
      <c r="F10" s="461"/>
      <c r="G10" s="201" t="s">
        <v>424</v>
      </c>
      <c r="H10" s="346"/>
      <c r="I10" s="347"/>
      <c r="J10" s="347"/>
      <c r="K10" s="347"/>
      <c r="L10" s="203" t="s">
        <v>302</v>
      </c>
      <c r="M10" s="347"/>
      <c r="N10" s="347"/>
      <c r="O10" s="347"/>
      <c r="P10" s="348"/>
      <c r="Q10" s="377" t="s">
        <v>324</v>
      </c>
      <c r="R10" s="413"/>
      <c r="U10" s="29">
        <f>IF(AND(H10&lt;&gt;"",M10&lt;&gt;""),1,0)</f>
        <v>0</v>
      </c>
      <c r="V10" s="40"/>
      <c r="W10" s="33"/>
      <c r="X10" s="33"/>
      <c r="Y10" s="32"/>
      <c r="AA10" s="48"/>
      <c r="AB10" s="49"/>
      <c r="AC10" s="50"/>
      <c r="AD10" s="50"/>
      <c r="AF10" s="34"/>
      <c r="AG10" s="34"/>
    </row>
    <row r="11" spans="1:41" ht="32.1" customHeight="1" thickBot="1" x14ac:dyDescent="0.25">
      <c r="A11" s="20"/>
      <c r="B11" s="458"/>
      <c r="C11" s="462"/>
      <c r="D11" s="462"/>
      <c r="E11" s="389"/>
      <c r="F11" s="461"/>
      <c r="G11" s="204" t="s">
        <v>379</v>
      </c>
      <c r="H11" s="328" t="s">
        <v>297</v>
      </c>
      <c r="I11" s="329"/>
      <c r="J11" s="329"/>
      <c r="K11" s="329"/>
      <c r="L11" s="330" t="s">
        <v>375</v>
      </c>
      <c r="M11" s="331"/>
      <c r="N11" s="331"/>
      <c r="O11" s="331"/>
      <c r="P11" s="332"/>
      <c r="Q11" s="378"/>
      <c r="R11" s="414"/>
      <c r="U11" s="29">
        <f>IF(H11="-",0,1)</f>
        <v>0</v>
      </c>
      <c r="V11" s="46" t="s">
        <v>274</v>
      </c>
      <c r="W11" s="33"/>
      <c r="X11" s="33"/>
      <c r="AA11" s="48"/>
      <c r="AB11" s="33"/>
      <c r="AC11" s="27" t="s">
        <v>170</v>
      </c>
      <c r="AD11" s="239" t="s">
        <v>153</v>
      </c>
      <c r="AF11" s="34"/>
      <c r="AG11" s="34"/>
      <c r="AO11" s="28" t="s">
        <v>173</v>
      </c>
    </row>
    <row r="12" spans="1:41" ht="32.1" customHeight="1" thickBot="1" x14ac:dyDescent="0.25">
      <c r="A12" s="20"/>
      <c r="B12" s="458"/>
      <c r="C12" s="462" t="s">
        <v>198</v>
      </c>
      <c r="D12" s="462"/>
      <c r="E12" s="388">
        <f>AC12</f>
        <v>1</v>
      </c>
      <c r="F12" s="391" t="str">
        <f>IF(X12=0,"-",AO12)</f>
        <v>-</v>
      </c>
      <c r="G12" s="201" t="s">
        <v>377</v>
      </c>
      <c r="H12" s="202" t="s">
        <v>299</v>
      </c>
      <c r="I12" s="281"/>
      <c r="J12" s="203" t="s">
        <v>300</v>
      </c>
      <c r="K12" s="333"/>
      <c r="L12" s="333"/>
      <c r="M12" s="203" t="s">
        <v>300</v>
      </c>
      <c r="N12" s="333"/>
      <c r="O12" s="333"/>
      <c r="P12" s="206" t="s">
        <v>301</v>
      </c>
      <c r="Q12" s="174" t="s">
        <v>310</v>
      </c>
      <c r="R12" s="412"/>
      <c r="U12" s="29">
        <f>IF(AND(I12&lt;&gt;"",K12&lt;&gt;"",N12&lt;&gt;""),1,0)</f>
        <v>0</v>
      </c>
      <c r="V12" s="29">
        <f>IF(R12="",0,1)</f>
        <v>0</v>
      </c>
      <c r="W12" s="30"/>
      <c r="X12" s="31">
        <f>SUM(U12:V14)</f>
        <v>0</v>
      </c>
      <c r="Y12" s="32" t="s">
        <v>208</v>
      </c>
      <c r="AA12" s="34"/>
      <c r="AB12" s="34"/>
      <c r="AC12" s="36">
        <v>1</v>
      </c>
      <c r="AD12" s="37">
        <f>IF(X12=4,AC12,0)</f>
        <v>0</v>
      </c>
      <c r="AF12" s="34"/>
      <c r="AG12" s="34"/>
      <c r="AO12" s="38">
        <f>IF(X12=4,AD12,0)</f>
        <v>0</v>
      </c>
    </row>
    <row r="13" spans="1:41" ht="32.1" customHeight="1" thickBot="1" x14ac:dyDescent="0.25">
      <c r="A13" s="20"/>
      <c r="B13" s="458"/>
      <c r="C13" s="462"/>
      <c r="D13" s="462"/>
      <c r="E13" s="389"/>
      <c r="F13" s="392"/>
      <c r="G13" s="47" t="s">
        <v>306</v>
      </c>
      <c r="H13" s="334"/>
      <c r="I13" s="335"/>
      <c r="J13" s="335"/>
      <c r="K13" s="335"/>
      <c r="L13" s="335"/>
      <c r="M13" s="335"/>
      <c r="N13" s="335"/>
      <c r="O13" s="335"/>
      <c r="P13" s="336"/>
      <c r="Q13" s="377" t="s">
        <v>324</v>
      </c>
      <c r="R13" s="413"/>
      <c r="U13" s="29">
        <f>IF(H13="",0,1)</f>
        <v>0</v>
      </c>
      <c r="V13" s="40"/>
      <c r="W13" s="33"/>
      <c r="X13" s="33"/>
      <c r="Z13" s="51"/>
      <c r="AA13" s="48"/>
      <c r="AB13" s="41"/>
      <c r="AC13" s="52"/>
      <c r="AD13" s="42"/>
      <c r="AF13" s="34"/>
      <c r="AG13" s="34"/>
    </row>
    <row r="14" spans="1:41" ht="32.1" customHeight="1" thickBot="1" x14ac:dyDescent="0.25">
      <c r="A14" s="20"/>
      <c r="B14" s="458"/>
      <c r="C14" s="462"/>
      <c r="D14" s="462"/>
      <c r="E14" s="389"/>
      <c r="F14" s="392"/>
      <c r="G14" s="47" t="s">
        <v>200</v>
      </c>
      <c r="H14" s="334"/>
      <c r="I14" s="335"/>
      <c r="J14" s="335"/>
      <c r="K14" s="335"/>
      <c r="L14" s="335"/>
      <c r="M14" s="335"/>
      <c r="N14" s="335"/>
      <c r="O14" s="335"/>
      <c r="P14" s="336"/>
      <c r="Q14" s="378"/>
      <c r="R14" s="414"/>
      <c r="U14" s="29">
        <f>IF(H14="",0,1)</f>
        <v>0</v>
      </c>
      <c r="V14" s="46"/>
      <c r="W14" s="33"/>
      <c r="X14" s="33"/>
      <c r="Z14" s="51"/>
      <c r="AA14" s="48"/>
      <c r="AB14" s="41"/>
      <c r="AC14" s="42"/>
      <c r="AD14" s="42"/>
      <c r="AF14" s="34"/>
      <c r="AG14" s="34"/>
      <c r="AO14" s="28" t="s">
        <v>173</v>
      </c>
    </row>
    <row r="15" spans="1:41" ht="32.1" customHeight="1" thickBot="1" x14ac:dyDescent="0.25">
      <c r="A15" s="20"/>
      <c r="B15" s="458"/>
      <c r="C15" s="462" t="s">
        <v>201</v>
      </c>
      <c r="D15" s="462"/>
      <c r="E15" s="246">
        <f>AC15</f>
        <v>0.5</v>
      </c>
      <c r="F15" s="240" t="str">
        <f>AO15</f>
        <v>-</v>
      </c>
      <c r="G15" s="190" t="s">
        <v>346</v>
      </c>
      <c r="H15" s="337" t="s">
        <v>297</v>
      </c>
      <c r="I15" s="338"/>
      <c r="J15" s="338"/>
      <c r="K15" s="338"/>
      <c r="L15" s="338"/>
      <c r="M15" s="338"/>
      <c r="N15" s="338"/>
      <c r="O15" s="338"/>
      <c r="P15" s="339"/>
      <c r="Q15" s="463"/>
      <c r="R15" s="464"/>
      <c r="U15" s="29">
        <f>IF(H15="有",1,0)</f>
        <v>0</v>
      </c>
      <c r="V15" s="32" t="s">
        <v>179</v>
      </c>
      <c r="AA15" s="53"/>
      <c r="AB15" s="53"/>
      <c r="AC15" s="54">
        <v>0.5</v>
      </c>
      <c r="AD15" s="55"/>
      <c r="AF15" s="53"/>
      <c r="AG15" s="53"/>
      <c r="AH15" s="53"/>
      <c r="AI15" s="53"/>
      <c r="AJ15" s="53"/>
      <c r="AO15" s="56" t="str">
        <f>IF(U15=1,AC15,"-")</f>
        <v>-</v>
      </c>
    </row>
    <row r="16" spans="1:41" ht="57" customHeight="1" thickBot="1" x14ac:dyDescent="0.25">
      <c r="A16" s="20"/>
      <c r="B16" s="458"/>
      <c r="C16" s="446" t="s">
        <v>202</v>
      </c>
      <c r="D16" s="446"/>
      <c r="E16" s="242">
        <f>AC16</f>
        <v>0.5</v>
      </c>
      <c r="F16" s="237" t="str">
        <f>AO16</f>
        <v>-</v>
      </c>
      <c r="G16" s="381" t="s">
        <v>349</v>
      </c>
      <c r="H16" s="382"/>
      <c r="I16" s="382"/>
      <c r="J16" s="382"/>
      <c r="K16" s="382"/>
      <c r="L16" s="382"/>
      <c r="M16" s="382"/>
      <c r="N16" s="382"/>
      <c r="O16" s="382"/>
      <c r="P16" s="382"/>
      <c r="Q16" s="191" t="s">
        <v>350</v>
      </c>
      <c r="R16" s="224" t="s">
        <v>297</v>
      </c>
      <c r="U16" s="57">
        <f>IF(OR(R16="標準型：9名以上　(簡易型：4名以上)",R16="技能士あり"),1,0)</f>
        <v>0</v>
      </c>
      <c r="V16" s="32" t="s">
        <v>179</v>
      </c>
      <c r="AA16" s="53"/>
      <c r="AB16" s="53"/>
      <c r="AC16" s="58">
        <v>0.5</v>
      </c>
      <c r="AD16" s="55"/>
      <c r="AF16" s="53"/>
      <c r="AG16" s="53"/>
      <c r="AH16" s="53"/>
      <c r="AI16" s="53"/>
      <c r="AJ16" s="53"/>
      <c r="AO16" s="59" t="str">
        <f t="shared" ref="AO16:AO20" si="0">IF(U16=1,AC16,"-")</f>
        <v>-</v>
      </c>
    </row>
    <row r="17" spans="1:41" ht="32.1" customHeight="1" thickBot="1" x14ac:dyDescent="0.25">
      <c r="A17" s="20"/>
      <c r="B17" s="459"/>
      <c r="C17" s="385" t="s">
        <v>356</v>
      </c>
      <c r="D17" s="386"/>
      <c r="E17" s="194">
        <f>AC17</f>
        <v>0.25</v>
      </c>
      <c r="F17" s="199" t="str">
        <f>AO17</f>
        <v>-</v>
      </c>
      <c r="G17" s="383" t="s">
        <v>352</v>
      </c>
      <c r="H17" s="384"/>
      <c r="I17" s="384"/>
      <c r="J17" s="384"/>
      <c r="K17" s="384"/>
      <c r="L17" s="384"/>
      <c r="M17" s="384"/>
      <c r="N17" s="384"/>
      <c r="O17" s="384"/>
      <c r="P17" s="384"/>
      <c r="Q17" s="192" t="s">
        <v>351</v>
      </c>
      <c r="R17" s="225" t="s">
        <v>297</v>
      </c>
      <c r="U17" s="29">
        <f>IF(R17="有",1,0)</f>
        <v>0</v>
      </c>
      <c r="V17" s="46"/>
      <c r="W17" s="33"/>
      <c r="AC17" s="54">
        <v>0.25</v>
      </c>
      <c r="AD17" s="60"/>
      <c r="AF17" s="34"/>
      <c r="AG17" s="34"/>
      <c r="AO17" s="61" t="str">
        <f t="shared" si="0"/>
        <v>-</v>
      </c>
    </row>
    <row r="18" spans="1:41" ht="32.1" customHeight="1" thickBot="1" x14ac:dyDescent="0.25">
      <c r="A18" s="20"/>
      <c r="B18" s="459"/>
      <c r="C18" s="385" t="s">
        <v>231</v>
      </c>
      <c r="D18" s="386"/>
      <c r="E18" s="194">
        <f t="shared" ref="E18:E20" si="1">AC18</f>
        <v>0.25</v>
      </c>
      <c r="F18" s="199" t="str">
        <f>IF('1.基本データ(このシートは削除しないこと！)'!H16=10,"-",AO18)</f>
        <v>-</v>
      </c>
      <c r="G18" s="383" t="s">
        <v>353</v>
      </c>
      <c r="H18" s="384"/>
      <c r="I18" s="384"/>
      <c r="J18" s="384"/>
      <c r="K18" s="384"/>
      <c r="L18" s="384"/>
      <c r="M18" s="384"/>
      <c r="N18" s="384"/>
      <c r="O18" s="384"/>
      <c r="P18" s="384"/>
      <c r="Q18" s="192" t="s">
        <v>332</v>
      </c>
      <c r="R18" s="225" t="s">
        <v>297</v>
      </c>
      <c r="U18" s="29">
        <f>IF(R18="有",1,0)</f>
        <v>0</v>
      </c>
      <c r="V18" s="33"/>
      <c r="W18" s="33"/>
      <c r="AC18" s="54">
        <v>0.25</v>
      </c>
      <c r="AD18" s="62"/>
      <c r="AF18" s="34"/>
      <c r="AG18" s="34"/>
      <c r="AO18" s="61" t="str">
        <f t="shared" si="0"/>
        <v>-</v>
      </c>
    </row>
    <row r="19" spans="1:41" ht="32.1" customHeight="1" thickBot="1" x14ac:dyDescent="0.25">
      <c r="A19" s="20"/>
      <c r="B19" s="459"/>
      <c r="C19" s="385" t="s">
        <v>357</v>
      </c>
      <c r="D19" s="386"/>
      <c r="E19" s="194">
        <f>AC19</f>
        <v>0.25</v>
      </c>
      <c r="F19" s="199" t="str">
        <f>AO19</f>
        <v>-</v>
      </c>
      <c r="G19" s="383" t="s">
        <v>354</v>
      </c>
      <c r="H19" s="384"/>
      <c r="I19" s="384"/>
      <c r="J19" s="384"/>
      <c r="K19" s="384"/>
      <c r="L19" s="384"/>
      <c r="M19" s="384"/>
      <c r="N19" s="384"/>
      <c r="O19" s="384"/>
      <c r="P19" s="384"/>
      <c r="Q19" s="192" t="s">
        <v>351</v>
      </c>
      <c r="R19" s="225" t="s">
        <v>297</v>
      </c>
      <c r="U19" s="29">
        <f>IF(R19="有",1,0)</f>
        <v>0</v>
      </c>
      <c r="V19" s="33"/>
      <c r="W19" s="33"/>
      <c r="AC19" s="54">
        <v>0.25</v>
      </c>
      <c r="AD19" s="63"/>
      <c r="AF19" s="34"/>
      <c r="AG19" s="34"/>
      <c r="AO19" s="172" t="str">
        <f>IF(U19=1,AC19,"-")</f>
        <v>-</v>
      </c>
    </row>
    <row r="20" spans="1:41" ht="32.1" customHeight="1" thickBot="1" x14ac:dyDescent="0.25">
      <c r="A20" s="20"/>
      <c r="B20" s="459"/>
      <c r="C20" s="385" t="s">
        <v>269</v>
      </c>
      <c r="D20" s="386"/>
      <c r="E20" s="194">
        <f t="shared" si="1"/>
        <v>0.25</v>
      </c>
      <c r="F20" s="199" t="str">
        <f>IF('1.基本データ(このシートは削除しないこと！)'!H16=10,"-",AO20)</f>
        <v>-</v>
      </c>
      <c r="G20" s="383" t="s">
        <v>355</v>
      </c>
      <c r="H20" s="384"/>
      <c r="I20" s="384"/>
      <c r="J20" s="384"/>
      <c r="K20" s="384"/>
      <c r="L20" s="384"/>
      <c r="M20" s="384"/>
      <c r="N20" s="384"/>
      <c r="O20" s="384"/>
      <c r="P20" s="384"/>
      <c r="Q20" s="192" t="s">
        <v>332</v>
      </c>
      <c r="R20" s="225" t="s">
        <v>297</v>
      </c>
      <c r="U20" s="29">
        <f>IF(R20="有",1,0)</f>
        <v>0</v>
      </c>
      <c r="V20" s="33"/>
      <c r="W20" s="33"/>
      <c r="AC20" s="54">
        <v>0.25</v>
      </c>
      <c r="AD20" s="62"/>
      <c r="AF20" s="34"/>
      <c r="AG20" s="34"/>
      <c r="AO20" s="64" t="str">
        <f t="shared" si="0"/>
        <v>-</v>
      </c>
    </row>
    <row r="21" spans="1:41" ht="38.25" customHeight="1" thickBot="1" x14ac:dyDescent="0.25">
      <c r="A21" s="20"/>
      <c r="B21" s="405" t="s">
        <v>229</v>
      </c>
      <c r="C21" s="369" t="s">
        <v>254</v>
      </c>
      <c r="D21" s="373" t="s">
        <v>255</v>
      </c>
      <c r="E21" s="195"/>
      <c r="F21" s="196"/>
      <c r="G21" s="247" t="s">
        <v>369</v>
      </c>
      <c r="H21" s="340" t="s">
        <v>205</v>
      </c>
      <c r="I21" s="341"/>
      <c r="J21" s="341"/>
      <c r="K21" s="341"/>
      <c r="L21" s="341"/>
      <c r="M21" s="341"/>
      <c r="N21" s="341"/>
      <c r="O21" s="341"/>
      <c r="P21" s="341"/>
      <c r="Q21" s="342"/>
      <c r="R21" s="211" t="s">
        <v>207</v>
      </c>
      <c r="AC21" s="65" t="s">
        <v>170</v>
      </c>
      <c r="AO21" s="28" t="s">
        <v>173</v>
      </c>
    </row>
    <row r="22" spans="1:41" ht="32.1" customHeight="1" thickBot="1" x14ac:dyDescent="0.25">
      <c r="A22" s="20"/>
      <c r="B22" s="406"/>
      <c r="C22" s="370"/>
      <c r="D22" s="373"/>
      <c r="E22" s="388">
        <f>AC22</f>
        <v>0.5</v>
      </c>
      <c r="F22" s="374" t="str">
        <f>IF(SUM(Y22:Y24)=0,"-",AO22)</f>
        <v>-</v>
      </c>
      <c r="G22" s="408"/>
      <c r="H22" s="343"/>
      <c r="I22" s="344"/>
      <c r="J22" s="344"/>
      <c r="K22" s="344"/>
      <c r="L22" s="344"/>
      <c r="M22" s="344"/>
      <c r="N22" s="344"/>
      <c r="O22" s="344"/>
      <c r="P22" s="344"/>
      <c r="Q22" s="345"/>
      <c r="R22" s="226"/>
      <c r="U22" s="31">
        <f>IF(G22="",0,1)</f>
        <v>0</v>
      </c>
      <c r="V22" s="66">
        <f>IF(H22="",0,1)</f>
        <v>0</v>
      </c>
      <c r="W22" s="29">
        <f>IF(R22&gt;=10,1,0)</f>
        <v>0</v>
      </c>
      <c r="X22" s="30"/>
      <c r="Y22" s="31">
        <f>SUM(U22:W22)</f>
        <v>0</v>
      </c>
      <c r="Z22" s="32" t="s">
        <v>266</v>
      </c>
      <c r="AC22" s="67">
        <v>0.5</v>
      </c>
      <c r="AO22" s="68">
        <f>IF(OR(Y22=3,Y23=3,Y24=3),AC22,0)</f>
        <v>0</v>
      </c>
    </row>
    <row r="23" spans="1:41" ht="32.1" customHeight="1" thickBot="1" x14ac:dyDescent="0.25">
      <c r="A23" s="20"/>
      <c r="B23" s="406"/>
      <c r="C23" s="370"/>
      <c r="D23" s="372"/>
      <c r="E23" s="389"/>
      <c r="F23" s="375"/>
      <c r="G23" s="409"/>
      <c r="H23" s="309"/>
      <c r="I23" s="310"/>
      <c r="J23" s="310"/>
      <c r="K23" s="310"/>
      <c r="L23" s="310"/>
      <c r="M23" s="310"/>
      <c r="N23" s="310"/>
      <c r="O23" s="310"/>
      <c r="P23" s="310"/>
      <c r="Q23" s="311"/>
      <c r="R23" s="227"/>
      <c r="U23" s="69" t="s">
        <v>270</v>
      </c>
      <c r="V23" s="29">
        <f>IF(H23="",0,1)</f>
        <v>0</v>
      </c>
      <c r="W23" s="29">
        <f>IF(R23="",0,1)</f>
        <v>0</v>
      </c>
      <c r="X23" s="70"/>
      <c r="Y23" s="31">
        <f>U22+SUM(V23:W23)</f>
        <v>0</v>
      </c>
      <c r="Z23" s="32" t="s">
        <v>266</v>
      </c>
      <c r="AC23" s="71"/>
      <c r="AO23" s="26"/>
    </row>
    <row r="24" spans="1:41" ht="32.1" customHeight="1" thickBot="1" x14ac:dyDescent="0.25">
      <c r="A24" s="20"/>
      <c r="B24" s="406"/>
      <c r="C24" s="370"/>
      <c r="D24" s="371" t="s">
        <v>256</v>
      </c>
      <c r="E24" s="389"/>
      <c r="F24" s="375"/>
      <c r="G24" s="400" t="s">
        <v>206</v>
      </c>
      <c r="H24" s="312" t="s">
        <v>347</v>
      </c>
      <c r="I24" s="313"/>
      <c r="J24" s="313"/>
      <c r="K24" s="313"/>
      <c r="L24" s="313"/>
      <c r="M24" s="313"/>
      <c r="N24" s="313"/>
      <c r="O24" s="313"/>
      <c r="P24" s="313"/>
      <c r="Q24" s="314"/>
      <c r="R24" s="228"/>
      <c r="U24" s="33"/>
      <c r="V24" s="72"/>
      <c r="W24" s="29">
        <f>IF(R24="",0,1)</f>
        <v>0</v>
      </c>
      <c r="X24" s="29">
        <f>IF(R25="",0,1)</f>
        <v>0</v>
      </c>
      <c r="Y24" s="31">
        <f>U22+SUM(W24:X24)</f>
        <v>0</v>
      </c>
      <c r="Z24" s="32" t="s">
        <v>266</v>
      </c>
      <c r="AC24" s="73"/>
      <c r="AO24" s="26"/>
    </row>
    <row r="25" spans="1:41" ht="32.1" customHeight="1" thickBot="1" x14ac:dyDescent="0.25">
      <c r="A25" s="20"/>
      <c r="B25" s="406"/>
      <c r="C25" s="370"/>
      <c r="D25" s="372"/>
      <c r="E25" s="390"/>
      <c r="F25" s="376"/>
      <c r="G25" s="402"/>
      <c r="H25" s="315" t="s">
        <v>250</v>
      </c>
      <c r="I25" s="316"/>
      <c r="J25" s="316"/>
      <c r="K25" s="316"/>
      <c r="L25" s="316"/>
      <c r="M25" s="316"/>
      <c r="N25" s="316"/>
      <c r="O25" s="316"/>
      <c r="P25" s="316"/>
      <c r="Q25" s="317"/>
      <c r="R25" s="228"/>
      <c r="AC25" s="27" t="s">
        <v>170</v>
      </c>
      <c r="AD25" s="239" t="s">
        <v>153</v>
      </c>
      <c r="AO25" s="28" t="s">
        <v>173</v>
      </c>
    </row>
    <row r="26" spans="1:41" ht="25.2" customHeight="1" thickBot="1" x14ac:dyDescent="0.25">
      <c r="A26" s="20"/>
      <c r="B26" s="406"/>
      <c r="C26" s="398" t="s">
        <v>432</v>
      </c>
      <c r="D26" s="399"/>
      <c r="E26" s="410">
        <f>AC26</f>
        <v>1</v>
      </c>
      <c r="F26" s="411" t="str">
        <f>IF(X26=0,"-",AO26)</f>
        <v>-</v>
      </c>
      <c r="G26" s="74" t="s">
        <v>249</v>
      </c>
      <c r="H26" s="318"/>
      <c r="I26" s="319"/>
      <c r="J26" s="319"/>
      <c r="K26" s="319"/>
      <c r="L26" s="319"/>
      <c r="M26" s="319"/>
      <c r="N26" s="319"/>
      <c r="O26" s="319"/>
      <c r="P26" s="320"/>
      <c r="Q26" s="353" t="s">
        <v>309</v>
      </c>
      <c r="R26" s="412"/>
      <c r="U26" s="29">
        <f>IF(H26="",0,1)</f>
        <v>0</v>
      </c>
      <c r="V26" s="29">
        <f>IF(R26="",0,1)</f>
        <v>0</v>
      </c>
      <c r="W26" s="30"/>
      <c r="X26" s="31">
        <f>SUM(U26:V29)</f>
        <v>0</v>
      </c>
      <c r="Y26" s="32" t="s">
        <v>291</v>
      </c>
      <c r="AA26" s="75"/>
      <c r="AB26" s="75"/>
      <c r="AC26" s="54">
        <v>1</v>
      </c>
      <c r="AD26" s="37">
        <f>IF(X26=5,AC26*U22,0)</f>
        <v>0</v>
      </c>
      <c r="AF26" s="75"/>
      <c r="AG26" s="75"/>
      <c r="AO26" s="38">
        <f>IF(X26=5,AD26,0)</f>
        <v>0</v>
      </c>
    </row>
    <row r="27" spans="1:41" ht="25.2" customHeight="1" thickBot="1" x14ac:dyDescent="0.25">
      <c r="A27" s="20"/>
      <c r="B27" s="406"/>
      <c r="C27" s="400"/>
      <c r="D27" s="401"/>
      <c r="E27" s="410"/>
      <c r="F27" s="411"/>
      <c r="G27" s="201" t="s">
        <v>425</v>
      </c>
      <c r="H27" s="321"/>
      <c r="I27" s="322"/>
      <c r="J27" s="322"/>
      <c r="K27" s="322"/>
      <c r="L27" s="179" t="s">
        <v>302</v>
      </c>
      <c r="M27" s="322"/>
      <c r="N27" s="322"/>
      <c r="O27" s="322"/>
      <c r="P27" s="323"/>
      <c r="Q27" s="354"/>
      <c r="R27" s="413"/>
      <c r="U27" s="29">
        <f>IF(AND(H27&lt;&gt;"",M27&lt;&gt;""),1,0)</f>
        <v>0</v>
      </c>
      <c r="V27" s="40"/>
      <c r="W27" s="33"/>
      <c r="X27" s="33"/>
      <c r="Y27" s="32"/>
      <c r="AA27" s="75"/>
      <c r="AB27" s="75"/>
      <c r="AC27" s="76"/>
      <c r="AD27" s="44"/>
      <c r="AF27" s="75"/>
      <c r="AG27" s="75"/>
      <c r="AO27" s="77"/>
    </row>
    <row r="28" spans="1:41" ht="25.2" customHeight="1" thickBot="1" x14ac:dyDescent="0.25">
      <c r="A28" s="20"/>
      <c r="B28" s="406"/>
      <c r="C28" s="400"/>
      <c r="D28" s="401"/>
      <c r="E28" s="410"/>
      <c r="F28" s="411"/>
      <c r="G28" s="39" t="s">
        <v>423</v>
      </c>
      <c r="H28" s="321"/>
      <c r="I28" s="322"/>
      <c r="J28" s="322"/>
      <c r="K28" s="322"/>
      <c r="L28" s="179" t="s">
        <v>302</v>
      </c>
      <c r="M28" s="322"/>
      <c r="N28" s="322"/>
      <c r="O28" s="322"/>
      <c r="P28" s="323"/>
      <c r="Q28" s="377" t="s">
        <v>324</v>
      </c>
      <c r="R28" s="413"/>
      <c r="U28" s="29">
        <f>IF(AND(H28&lt;&gt;"",M28&lt;&gt;""),1,0)</f>
        <v>0</v>
      </c>
      <c r="V28" s="46"/>
      <c r="W28" s="33"/>
      <c r="X28" s="33"/>
      <c r="Y28" s="32"/>
      <c r="AA28" s="75"/>
      <c r="AB28" s="75"/>
      <c r="AC28" s="76"/>
      <c r="AD28" s="44"/>
      <c r="AF28" s="75"/>
      <c r="AG28" s="75"/>
      <c r="AO28" s="77"/>
    </row>
    <row r="29" spans="1:41" ht="32.1" customHeight="1" thickBot="1" x14ac:dyDescent="0.25">
      <c r="A29" s="20"/>
      <c r="B29" s="406"/>
      <c r="C29" s="400"/>
      <c r="D29" s="401"/>
      <c r="E29" s="410"/>
      <c r="F29" s="411"/>
      <c r="G29" s="45" t="s">
        <v>307</v>
      </c>
      <c r="H29" s="396"/>
      <c r="I29" s="429"/>
      <c r="J29" s="324" t="s">
        <v>304</v>
      </c>
      <c r="K29" s="325"/>
      <c r="L29" s="326" t="s">
        <v>372</v>
      </c>
      <c r="M29" s="327"/>
      <c r="N29" s="327"/>
      <c r="O29" s="280" t="s">
        <v>373</v>
      </c>
      <c r="P29" s="200" t="s">
        <v>374</v>
      </c>
      <c r="Q29" s="378"/>
      <c r="R29" s="414"/>
      <c r="U29" s="29">
        <f>IF(H29="",0,1)</f>
        <v>0</v>
      </c>
      <c r="V29" s="46"/>
      <c r="W29" s="33"/>
      <c r="X29" s="33"/>
      <c r="AA29" s="75"/>
      <c r="AB29" s="75"/>
      <c r="AC29" s="27" t="s">
        <v>170</v>
      </c>
      <c r="AD29" s="239" t="s">
        <v>153</v>
      </c>
      <c r="AF29" s="75"/>
      <c r="AG29" s="75"/>
      <c r="AO29" s="28" t="s">
        <v>173</v>
      </c>
    </row>
    <row r="30" spans="1:41" ht="25.2" customHeight="1" thickBot="1" x14ac:dyDescent="0.25">
      <c r="A30" s="20"/>
      <c r="B30" s="406"/>
      <c r="C30" s="398" t="s">
        <v>358</v>
      </c>
      <c r="D30" s="399"/>
      <c r="E30" s="410">
        <f>AC30</f>
        <v>1</v>
      </c>
      <c r="F30" s="411" t="str">
        <f>IF(X30=0,"-",AO30)</f>
        <v>-</v>
      </c>
      <c r="G30" s="39" t="s">
        <v>311</v>
      </c>
      <c r="H30" s="181" t="s">
        <v>299</v>
      </c>
      <c r="I30" s="282"/>
      <c r="J30" s="180" t="s">
        <v>300</v>
      </c>
      <c r="K30" s="352"/>
      <c r="L30" s="352"/>
      <c r="M30" s="180" t="s">
        <v>300</v>
      </c>
      <c r="N30" s="352"/>
      <c r="O30" s="352"/>
      <c r="P30" s="212" t="s">
        <v>301</v>
      </c>
      <c r="Q30" s="353" t="s">
        <v>309</v>
      </c>
      <c r="R30" s="412"/>
      <c r="U30" s="29">
        <f>IF(AND(I30&lt;&gt;"",K30&lt;&gt;"",N30&lt;&gt;""),1,0)</f>
        <v>0</v>
      </c>
      <c r="V30" s="29">
        <f>IF(R30="",0,1)</f>
        <v>0</v>
      </c>
      <c r="W30" s="30"/>
      <c r="X30" s="31">
        <f>SUM(U30:V33)</f>
        <v>0</v>
      </c>
      <c r="Y30" s="32" t="s">
        <v>292</v>
      </c>
      <c r="AA30" s="75"/>
      <c r="AB30" s="75"/>
      <c r="AC30" s="54">
        <v>1</v>
      </c>
      <c r="AD30" s="37">
        <f>IF(X30=5,AC30*U22,0)</f>
        <v>0</v>
      </c>
      <c r="AF30" s="75"/>
      <c r="AG30" s="75"/>
      <c r="AO30" s="38">
        <f>IF(X30=5,AD30,0)</f>
        <v>0</v>
      </c>
    </row>
    <row r="31" spans="1:41" ht="25.2" customHeight="1" thickBot="1" x14ac:dyDescent="0.25">
      <c r="A31" s="20"/>
      <c r="B31" s="406"/>
      <c r="C31" s="400"/>
      <c r="D31" s="401"/>
      <c r="E31" s="410"/>
      <c r="F31" s="411"/>
      <c r="G31" s="201" t="s">
        <v>378</v>
      </c>
      <c r="H31" s="346"/>
      <c r="I31" s="347"/>
      <c r="J31" s="347"/>
      <c r="K31" s="347"/>
      <c r="L31" s="203" t="s">
        <v>302</v>
      </c>
      <c r="M31" s="347"/>
      <c r="N31" s="347"/>
      <c r="O31" s="347"/>
      <c r="P31" s="348"/>
      <c r="Q31" s="354"/>
      <c r="R31" s="413"/>
      <c r="U31" s="29">
        <f>IF(AND(H31&lt;&gt;"",M31&lt;&gt;""),1,0)</f>
        <v>0</v>
      </c>
      <c r="V31" s="40"/>
      <c r="W31" s="33"/>
      <c r="X31" s="33"/>
      <c r="Y31" s="32"/>
      <c r="AA31" s="75"/>
      <c r="AB31" s="75"/>
      <c r="AC31" s="76"/>
      <c r="AD31" s="75"/>
      <c r="AF31" s="75"/>
      <c r="AG31" s="75"/>
    </row>
    <row r="32" spans="1:41" ht="25.2" customHeight="1" thickBot="1" x14ac:dyDescent="0.25">
      <c r="A32" s="20"/>
      <c r="B32" s="406"/>
      <c r="C32" s="400"/>
      <c r="D32" s="401"/>
      <c r="E32" s="410"/>
      <c r="F32" s="411"/>
      <c r="G32" s="201" t="s">
        <v>380</v>
      </c>
      <c r="H32" s="346"/>
      <c r="I32" s="347"/>
      <c r="J32" s="347"/>
      <c r="K32" s="347"/>
      <c r="L32" s="203" t="s">
        <v>302</v>
      </c>
      <c r="M32" s="347"/>
      <c r="N32" s="347"/>
      <c r="O32" s="347"/>
      <c r="P32" s="348"/>
      <c r="Q32" s="377" t="s">
        <v>324</v>
      </c>
      <c r="R32" s="413"/>
      <c r="U32" s="29">
        <f>IF(AND(H32&lt;&gt;"",M32&lt;&gt;""),1,0)</f>
        <v>0</v>
      </c>
      <c r="V32" s="46"/>
      <c r="W32" s="33"/>
      <c r="X32" s="33"/>
      <c r="Y32" s="32"/>
      <c r="AA32" s="75"/>
      <c r="AB32" s="75"/>
      <c r="AC32" s="76"/>
      <c r="AD32" s="75"/>
      <c r="AF32" s="75"/>
      <c r="AG32" s="75"/>
    </row>
    <row r="33" spans="1:41" ht="32.1" customHeight="1" thickBot="1" x14ac:dyDescent="0.25">
      <c r="A33" s="20"/>
      <c r="B33" s="406"/>
      <c r="C33" s="400"/>
      <c r="D33" s="401"/>
      <c r="E33" s="410"/>
      <c r="F33" s="411"/>
      <c r="G33" s="205" t="s">
        <v>381</v>
      </c>
      <c r="H33" s="328"/>
      <c r="I33" s="329"/>
      <c r="J33" s="329"/>
      <c r="K33" s="329"/>
      <c r="L33" s="349" t="s">
        <v>375</v>
      </c>
      <c r="M33" s="350"/>
      <c r="N33" s="350"/>
      <c r="O33" s="350"/>
      <c r="P33" s="351"/>
      <c r="Q33" s="378"/>
      <c r="R33" s="414"/>
      <c r="U33" s="29">
        <f>IF(H33=リスト!E4,1,L330)</f>
        <v>0</v>
      </c>
      <c r="V33" s="46" t="s">
        <v>274</v>
      </c>
      <c r="W33" s="33"/>
      <c r="X33" s="33"/>
      <c r="AA33" s="75"/>
      <c r="AB33" s="75"/>
      <c r="AC33" s="27" t="s">
        <v>170</v>
      </c>
      <c r="AD33" s="239" t="s">
        <v>153</v>
      </c>
      <c r="AF33" s="75"/>
      <c r="AG33" s="75"/>
      <c r="AO33" s="28" t="s">
        <v>173</v>
      </c>
    </row>
    <row r="34" spans="1:41" ht="25.2" customHeight="1" thickBot="1" x14ac:dyDescent="0.25">
      <c r="A34" s="20"/>
      <c r="B34" s="406"/>
      <c r="C34" s="398" t="s">
        <v>209</v>
      </c>
      <c r="D34" s="399"/>
      <c r="E34" s="388">
        <f>AC34</f>
        <v>1</v>
      </c>
      <c r="F34" s="391" t="str">
        <f>IF(X34=0,"-",AO34)</f>
        <v>-</v>
      </c>
      <c r="G34" s="39" t="s">
        <v>311</v>
      </c>
      <c r="H34" s="181" t="s">
        <v>299</v>
      </c>
      <c r="I34" s="282"/>
      <c r="J34" s="180" t="s">
        <v>300</v>
      </c>
      <c r="K34" s="352"/>
      <c r="L34" s="352"/>
      <c r="M34" s="180" t="s">
        <v>300</v>
      </c>
      <c r="N34" s="352"/>
      <c r="O34" s="352"/>
      <c r="P34" s="212" t="s">
        <v>301</v>
      </c>
      <c r="Q34" s="174" t="s">
        <v>308</v>
      </c>
      <c r="R34" s="412"/>
      <c r="U34" s="29">
        <f>IF(AND(I34&lt;&gt;"",K34&lt;&gt;"",N34&lt;&gt;""),1,0)</f>
        <v>0</v>
      </c>
      <c r="V34" s="29">
        <f>IF(R34="",0,1)</f>
        <v>0</v>
      </c>
      <c r="W34" s="30"/>
      <c r="X34" s="31">
        <f>SUM(U34:V36)</f>
        <v>0</v>
      </c>
      <c r="Y34" s="32" t="s">
        <v>208</v>
      </c>
      <c r="AA34" s="34"/>
      <c r="AB34" s="34"/>
      <c r="AC34" s="36">
        <v>1</v>
      </c>
      <c r="AD34" s="37">
        <f>IF(X34=4,AC34*U22,0)</f>
        <v>0</v>
      </c>
      <c r="AF34" s="34"/>
      <c r="AG34" s="34"/>
      <c r="AO34" s="38">
        <f>IF(X34=4,AD34,0)</f>
        <v>0</v>
      </c>
    </row>
    <row r="35" spans="1:41" ht="25.2" customHeight="1" thickBot="1" x14ac:dyDescent="0.25">
      <c r="A35" s="20"/>
      <c r="B35" s="406"/>
      <c r="C35" s="400"/>
      <c r="D35" s="401"/>
      <c r="E35" s="389"/>
      <c r="F35" s="392"/>
      <c r="G35" s="47" t="s">
        <v>199</v>
      </c>
      <c r="H35" s="334"/>
      <c r="I35" s="335"/>
      <c r="J35" s="335"/>
      <c r="K35" s="335"/>
      <c r="L35" s="335"/>
      <c r="M35" s="335"/>
      <c r="N35" s="335"/>
      <c r="O35" s="335"/>
      <c r="P35" s="336"/>
      <c r="Q35" s="377" t="s">
        <v>325</v>
      </c>
      <c r="R35" s="413"/>
      <c r="U35" s="29">
        <f>IF(H35="",0,1)</f>
        <v>0</v>
      </c>
      <c r="V35" s="40"/>
      <c r="W35" s="33"/>
      <c r="X35" s="33"/>
      <c r="Z35" s="51"/>
      <c r="AA35" s="48"/>
      <c r="AB35" s="41"/>
      <c r="AC35" s="52"/>
      <c r="AD35" s="42"/>
      <c r="AF35" s="34"/>
      <c r="AG35" s="34"/>
    </row>
    <row r="36" spans="1:41" ht="25.2" customHeight="1" thickBot="1" x14ac:dyDescent="0.25">
      <c r="A36" s="20"/>
      <c r="B36" s="407"/>
      <c r="C36" s="402"/>
      <c r="D36" s="403"/>
      <c r="E36" s="390"/>
      <c r="F36" s="393"/>
      <c r="G36" s="47" t="s">
        <v>200</v>
      </c>
      <c r="H36" s="334"/>
      <c r="I36" s="335"/>
      <c r="J36" s="335"/>
      <c r="K36" s="335"/>
      <c r="L36" s="335"/>
      <c r="M36" s="335"/>
      <c r="N36" s="335"/>
      <c r="O36" s="335"/>
      <c r="P36" s="336"/>
      <c r="Q36" s="378"/>
      <c r="R36" s="414"/>
      <c r="U36" s="29">
        <f>IF(H36="",0,1)</f>
        <v>0</v>
      </c>
      <c r="V36" s="46"/>
      <c r="W36" s="33"/>
      <c r="X36" s="33"/>
      <c r="Z36" s="51"/>
      <c r="AA36" s="48"/>
      <c r="AB36" s="41"/>
      <c r="AC36" s="78"/>
      <c r="AD36" s="26"/>
      <c r="AE36" s="33"/>
      <c r="AF36" s="34"/>
      <c r="AG36" s="34"/>
      <c r="AH36" s="33"/>
      <c r="AI36" s="33"/>
      <c r="AJ36" s="33"/>
      <c r="AK36" s="33"/>
      <c r="AL36" s="33"/>
      <c r="AM36" s="33"/>
      <c r="AN36" s="33"/>
      <c r="AO36" s="26"/>
    </row>
    <row r="37" spans="1:41" ht="9.9" customHeight="1" x14ac:dyDescent="0.2">
      <c r="A37" s="20"/>
      <c r="B37" s="421" t="s">
        <v>1</v>
      </c>
      <c r="C37" s="421"/>
      <c r="D37" s="421"/>
      <c r="E37" s="421"/>
      <c r="F37" s="421"/>
      <c r="G37" s="421"/>
      <c r="H37" s="421"/>
      <c r="I37" s="421"/>
      <c r="J37" s="421"/>
      <c r="K37" s="421"/>
      <c r="L37" s="421"/>
      <c r="M37" s="421"/>
      <c r="N37" s="421"/>
      <c r="O37" s="421"/>
      <c r="P37" s="421"/>
      <c r="Q37" s="421"/>
      <c r="R37" s="421"/>
      <c r="U37" s="79"/>
      <c r="V37" s="33"/>
      <c r="W37" s="33"/>
      <c r="X37" s="33"/>
      <c r="Y37" s="33"/>
      <c r="Z37" s="33"/>
      <c r="AA37" s="33"/>
      <c r="AB37" s="80"/>
      <c r="AC37" s="76"/>
      <c r="AD37" s="81"/>
      <c r="AE37" s="33"/>
    </row>
    <row r="38" spans="1:41" ht="9.9" customHeight="1" x14ac:dyDescent="0.2">
      <c r="A38" s="20"/>
      <c r="B38" s="387" t="s">
        <v>322</v>
      </c>
      <c r="C38" s="387"/>
      <c r="D38" s="387"/>
      <c r="E38" s="387"/>
      <c r="F38" s="387"/>
      <c r="G38" s="387"/>
      <c r="H38" s="387"/>
      <c r="I38" s="387"/>
      <c r="J38" s="387"/>
      <c r="K38" s="387"/>
      <c r="L38" s="387"/>
      <c r="M38" s="387"/>
      <c r="N38" s="387"/>
      <c r="O38" s="387"/>
      <c r="P38" s="387"/>
      <c r="Q38" s="387"/>
      <c r="R38" s="387"/>
      <c r="U38" s="33"/>
      <c r="V38" s="33"/>
      <c r="W38" s="33"/>
      <c r="X38" s="33"/>
      <c r="Y38" s="33"/>
      <c r="Z38" s="33"/>
      <c r="AA38" s="33"/>
      <c r="AB38" s="82"/>
      <c r="AC38" s="76"/>
      <c r="AD38" s="81"/>
      <c r="AE38" s="83"/>
      <c r="AF38" s="84"/>
    </row>
    <row r="39" spans="1:41" ht="9.9" customHeight="1" x14ac:dyDescent="0.2">
      <c r="A39" s="20"/>
      <c r="B39" s="387" t="s">
        <v>210</v>
      </c>
      <c r="C39" s="387"/>
      <c r="D39" s="387"/>
      <c r="E39" s="387"/>
      <c r="F39" s="387"/>
      <c r="G39" s="387"/>
      <c r="H39" s="387"/>
      <c r="I39" s="387"/>
      <c r="J39" s="387"/>
      <c r="K39" s="387"/>
      <c r="L39" s="387"/>
      <c r="M39" s="387"/>
      <c r="N39" s="387"/>
      <c r="O39" s="387"/>
      <c r="P39" s="387"/>
      <c r="Q39" s="387"/>
      <c r="R39" s="387"/>
      <c r="U39" s="33"/>
      <c r="V39" s="33"/>
      <c r="W39" s="33"/>
      <c r="X39" s="33"/>
      <c r="Y39" s="33"/>
      <c r="Z39" s="33"/>
      <c r="AA39" s="33"/>
      <c r="AB39" s="33"/>
      <c r="AC39" s="33"/>
      <c r="AD39" s="33"/>
      <c r="AE39" s="33"/>
      <c r="AF39" s="84"/>
      <c r="AG39" s="84"/>
      <c r="AH39" s="84"/>
      <c r="AI39" s="84"/>
      <c r="AJ39" s="84"/>
    </row>
    <row r="40" spans="1:41" ht="9.9" customHeight="1" x14ac:dyDescent="0.2">
      <c r="A40" s="20"/>
      <c r="B40" s="387" t="s">
        <v>323</v>
      </c>
      <c r="C40" s="387"/>
      <c r="D40" s="387"/>
      <c r="E40" s="387"/>
      <c r="F40" s="387"/>
      <c r="G40" s="387"/>
      <c r="H40" s="387"/>
      <c r="I40" s="387"/>
      <c r="J40" s="387"/>
      <c r="K40" s="387"/>
      <c r="L40" s="387"/>
      <c r="M40" s="387"/>
      <c r="N40" s="387"/>
      <c r="O40" s="387"/>
      <c r="P40" s="387"/>
      <c r="Q40" s="387"/>
      <c r="R40" s="387"/>
      <c r="AF40" s="84"/>
      <c r="AG40" s="84"/>
      <c r="AH40" s="84"/>
      <c r="AI40" s="84"/>
      <c r="AJ40" s="84"/>
    </row>
    <row r="41" spans="1:41" ht="9.9" customHeight="1" x14ac:dyDescent="0.2">
      <c r="A41" s="20"/>
      <c r="B41" s="387" t="s">
        <v>348</v>
      </c>
      <c r="C41" s="387"/>
      <c r="D41" s="387"/>
      <c r="E41" s="387"/>
      <c r="F41" s="387"/>
      <c r="G41" s="387"/>
      <c r="H41" s="387"/>
      <c r="I41" s="387"/>
      <c r="J41" s="387"/>
      <c r="K41" s="387"/>
      <c r="L41" s="387"/>
      <c r="M41" s="387"/>
      <c r="N41" s="387"/>
      <c r="O41" s="387"/>
      <c r="P41" s="387"/>
      <c r="Q41" s="387"/>
      <c r="R41" s="387"/>
      <c r="U41" s="33"/>
      <c r="V41" s="33"/>
      <c r="W41" s="33"/>
      <c r="X41" s="33"/>
      <c r="Y41" s="33"/>
      <c r="Z41" s="33"/>
      <c r="AA41" s="33"/>
      <c r="AB41" s="82"/>
      <c r="AC41" s="76"/>
      <c r="AD41" s="81"/>
      <c r="AE41" s="83"/>
      <c r="AF41" s="85"/>
    </row>
    <row r="42" spans="1:41" x14ac:dyDescent="0.2">
      <c r="B42" s="355" t="s">
        <v>430</v>
      </c>
      <c r="C42" s="355"/>
      <c r="D42" s="355"/>
      <c r="E42" s="355"/>
      <c r="F42" s="355"/>
      <c r="G42" s="355"/>
      <c r="H42" s="355"/>
      <c r="I42" s="355"/>
      <c r="J42" s="355"/>
      <c r="K42" s="355"/>
      <c r="L42" s="355"/>
      <c r="M42" s="355"/>
      <c r="N42" s="355"/>
      <c r="O42" s="355"/>
      <c r="P42" s="355"/>
      <c r="Q42" s="355"/>
      <c r="R42" s="355"/>
    </row>
    <row r="43" spans="1:41" ht="16.05" customHeight="1" x14ac:dyDescent="0.2">
      <c r="A43" s="20"/>
      <c r="B43" s="416" t="s">
        <v>253</v>
      </c>
      <c r="C43" s="416"/>
      <c r="D43" s="416"/>
      <c r="E43" s="416"/>
      <c r="F43" s="416"/>
      <c r="G43" s="416"/>
      <c r="H43" s="241"/>
      <c r="I43" s="241"/>
      <c r="J43" s="241"/>
      <c r="K43" s="241"/>
      <c r="L43" s="241"/>
      <c r="M43" s="241"/>
      <c r="N43" s="241"/>
      <c r="O43" s="241"/>
      <c r="P43" s="21"/>
      <c r="R43" s="22" t="str">
        <f>R2</f>
        <v>（標準型）</v>
      </c>
    </row>
    <row r="44" spans="1:41" ht="16.05" customHeight="1" x14ac:dyDescent="0.2">
      <c r="A44" s="20"/>
      <c r="B44" s="417" t="s">
        <v>144</v>
      </c>
      <c r="C44" s="417"/>
      <c r="D44" s="417"/>
      <c r="E44" s="420" t="str">
        <f>'1.基本データ(このシートは削除しないこと！)'!H14&amp;'1.基本データ(このシートは削除しないこと！)'!H15</f>
        <v>第○○-○○○○○-○○○○号 ○○○○○○○○○○○○工事</v>
      </c>
      <c r="F44" s="420"/>
      <c r="G44" s="420"/>
      <c r="H44" s="420"/>
      <c r="I44" s="420"/>
      <c r="J44" s="420"/>
      <c r="K44" s="420"/>
      <c r="L44" s="420"/>
      <c r="M44" s="420"/>
      <c r="N44" s="420"/>
      <c r="O44" s="420"/>
      <c r="P44" s="420"/>
      <c r="Q44" s="420"/>
    </row>
    <row r="45" spans="1:41" ht="16.05" customHeight="1" thickBot="1" x14ac:dyDescent="0.25">
      <c r="A45" s="20"/>
      <c r="B45" s="404" t="s">
        <v>145</v>
      </c>
      <c r="C45" s="404"/>
      <c r="D45" s="404"/>
      <c r="E45" s="23" t="str">
        <f>'1.基本データ(このシートは削除しないこと！)'!H7</f>
        <v>株式会社○○○○</v>
      </c>
      <c r="F45" s="20"/>
      <c r="G45" s="20"/>
      <c r="H45" s="20"/>
      <c r="I45" s="20"/>
      <c r="J45" s="20"/>
      <c r="K45" s="20"/>
      <c r="L45" s="20"/>
      <c r="M45" s="20"/>
      <c r="N45" s="20"/>
      <c r="O45" s="20"/>
      <c r="P45" s="20"/>
      <c r="Q45" s="20"/>
      <c r="R45" s="20"/>
    </row>
    <row r="46" spans="1:41" ht="22.5" customHeight="1" thickBot="1" x14ac:dyDescent="0.25">
      <c r="A46" s="20"/>
      <c r="B46" s="415" t="s">
        <v>0</v>
      </c>
      <c r="C46" s="415"/>
      <c r="D46" s="415"/>
      <c r="E46" s="24" t="s">
        <v>174</v>
      </c>
      <c r="F46" s="198" t="s">
        <v>3</v>
      </c>
      <c r="G46" s="422" t="s">
        <v>267</v>
      </c>
      <c r="H46" s="423"/>
      <c r="I46" s="423"/>
      <c r="J46" s="423"/>
      <c r="K46" s="423"/>
      <c r="L46" s="423"/>
      <c r="M46" s="423"/>
      <c r="N46" s="423"/>
      <c r="O46" s="423"/>
      <c r="P46" s="423"/>
      <c r="Q46" s="423"/>
      <c r="R46" s="424"/>
      <c r="U46" s="25" t="s">
        <v>141</v>
      </c>
      <c r="Z46" s="33"/>
      <c r="AC46" s="27" t="s">
        <v>170</v>
      </c>
      <c r="AG46" s="33"/>
      <c r="AH46" s="33"/>
      <c r="AI46" s="33"/>
      <c r="AJ46" s="42"/>
      <c r="AK46" s="33"/>
      <c r="AM46" s="84"/>
      <c r="AN46" s="84"/>
      <c r="AO46" s="28" t="s">
        <v>173</v>
      </c>
    </row>
    <row r="47" spans="1:41" ht="25.95" customHeight="1" thickBot="1" x14ac:dyDescent="0.25">
      <c r="A47" s="20"/>
      <c r="B47" s="430" t="s">
        <v>296</v>
      </c>
      <c r="C47" s="425" t="s">
        <v>359</v>
      </c>
      <c r="D47" s="426"/>
      <c r="E47" s="246">
        <f>AC47</f>
        <v>0.5</v>
      </c>
      <c r="F47" s="240" t="str">
        <f>AO47</f>
        <v>-</v>
      </c>
      <c r="G47" s="175" t="s">
        <v>313</v>
      </c>
      <c r="H47" s="356" t="s">
        <v>320</v>
      </c>
      <c r="I47" s="356"/>
      <c r="J47" s="361" t="s">
        <v>297</v>
      </c>
      <c r="K47" s="362"/>
      <c r="L47" s="362"/>
      <c r="M47" s="362"/>
      <c r="N47" s="362"/>
      <c r="O47" s="362"/>
      <c r="P47" s="362"/>
      <c r="Q47" s="362"/>
      <c r="R47" s="363"/>
      <c r="U47" s="29">
        <f>IF(OR(J47=リスト!H4,J47=リスト!H6),1,0)</f>
        <v>0</v>
      </c>
      <c r="V47" s="46"/>
      <c r="W47" s="33"/>
      <c r="X47" s="33"/>
      <c r="AC47" s="54">
        <v>0.5</v>
      </c>
      <c r="AD47" s="60"/>
      <c r="AF47" s="34"/>
      <c r="AG47" s="34"/>
      <c r="AO47" s="87" t="str">
        <f>IF(U47=1,AC47,"-")</f>
        <v>-</v>
      </c>
    </row>
    <row r="48" spans="1:41" ht="25.95" customHeight="1" thickBot="1" x14ac:dyDescent="0.25">
      <c r="A48" s="20"/>
      <c r="B48" s="430"/>
      <c r="C48" s="425" t="s">
        <v>360</v>
      </c>
      <c r="D48" s="426"/>
      <c r="E48" s="246">
        <f t="shared" ref="E48:E54" si="2">AC48</f>
        <v>0.5</v>
      </c>
      <c r="F48" s="240" t="str">
        <f t="shared" ref="F48:F54" si="3">AO48</f>
        <v>-</v>
      </c>
      <c r="G48" s="175" t="s">
        <v>314</v>
      </c>
      <c r="H48" s="356" t="s">
        <v>320</v>
      </c>
      <c r="I48" s="356"/>
      <c r="J48" s="358" t="s">
        <v>297</v>
      </c>
      <c r="K48" s="359"/>
      <c r="L48" s="359"/>
      <c r="M48" s="359"/>
      <c r="N48" s="359"/>
      <c r="O48" s="359"/>
      <c r="P48" s="359"/>
      <c r="Q48" s="359"/>
      <c r="R48" s="360"/>
      <c r="U48" s="29">
        <f>IF(J48="有",1,0)</f>
        <v>0</v>
      </c>
      <c r="V48" s="33"/>
      <c r="W48" s="86"/>
      <c r="X48" s="33"/>
      <c r="AC48" s="54">
        <v>0.5</v>
      </c>
      <c r="AD48" s="63"/>
      <c r="AF48" s="34"/>
      <c r="AG48" s="34"/>
      <c r="AO48" s="87" t="str">
        <f t="shared" ref="AO48:AO54" si="4">IF(U48=1,AC48,"-")</f>
        <v>-</v>
      </c>
    </row>
    <row r="49" spans="1:51" ht="22.95" customHeight="1" thickBot="1" x14ac:dyDescent="0.25">
      <c r="A49" s="20"/>
      <c r="B49" s="430"/>
      <c r="C49" s="418" t="s">
        <v>211</v>
      </c>
      <c r="D49" s="419"/>
      <c r="E49" s="246">
        <f t="shared" si="2"/>
        <v>0.5</v>
      </c>
      <c r="F49" s="240" t="str">
        <f t="shared" si="3"/>
        <v>-</v>
      </c>
      <c r="G49" s="175" t="s">
        <v>315</v>
      </c>
      <c r="H49" s="356" t="s">
        <v>320</v>
      </c>
      <c r="I49" s="356"/>
      <c r="J49" s="358" t="s">
        <v>297</v>
      </c>
      <c r="K49" s="359"/>
      <c r="L49" s="359"/>
      <c r="M49" s="359"/>
      <c r="N49" s="359"/>
      <c r="O49" s="359"/>
      <c r="P49" s="359"/>
      <c r="Q49" s="359"/>
      <c r="R49" s="360"/>
      <c r="U49" s="29">
        <f>IF(J49="有",1,0)</f>
        <v>0</v>
      </c>
      <c r="V49" s="33"/>
      <c r="W49" s="86"/>
      <c r="X49" s="33"/>
      <c r="AC49" s="54">
        <v>0.5</v>
      </c>
      <c r="AD49" s="63"/>
      <c r="AF49" s="34"/>
      <c r="AG49" s="34"/>
      <c r="AO49" s="87" t="str">
        <f t="shared" si="4"/>
        <v>-</v>
      </c>
    </row>
    <row r="50" spans="1:51" ht="22.95" customHeight="1" thickBot="1" x14ac:dyDescent="0.25">
      <c r="A50" s="20"/>
      <c r="B50" s="430"/>
      <c r="C50" s="427" t="s">
        <v>212</v>
      </c>
      <c r="D50" s="428"/>
      <c r="E50" s="242">
        <f>AC50</f>
        <v>1.5</v>
      </c>
      <c r="F50" s="237" t="str">
        <f>AO50</f>
        <v>-</v>
      </c>
      <c r="G50" s="175" t="s">
        <v>316</v>
      </c>
      <c r="H50" s="356" t="s">
        <v>320</v>
      </c>
      <c r="I50" s="356"/>
      <c r="J50" s="361" t="s">
        <v>297</v>
      </c>
      <c r="K50" s="362"/>
      <c r="L50" s="362"/>
      <c r="M50" s="362"/>
      <c r="N50" s="362"/>
      <c r="O50" s="362"/>
      <c r="P50" s="362"/>
      <c r="Q50" s="362"/>
      <c r="R50" s="363"/>
      <c r="U50" s="57">
        <f>IF(OR(J50=リスト!I4,J50=リスト!I5),1,0)</f>
        <v>0</v>
      </c>
      <c r="V50" s="33"/>
      <c r="W50" s="86"/>
      <c r="X50" s="33"/>
      <c r="AC50" s="58">
        <v>1.5</v>
      </c>
      <c r="AD50" s="63"/>
      <c r="AF50" s="34"/>
      <c r="AG50" s="34"/>
      <c r="AL50" s="93"/>
      <c r="AO50" s="87" t="str">
        <f>IF(U50=1,AC50,"-")</f>
        <v>-</v>
      </c>
    </row>
    <row r="51" spans="1:51" ht="25.95" customHeight="1" thickBot="1" x14ac:dyDescent="0.25">
      <c r="A51" s="20"/>
      <c r="B51" s="430"/>
      <c r="C51" s="394" t="s">
        <v>283</v>
      </c>
      <c r="D51" s="395"/>
      <c r="E51" s="246">
        <f t="shared" si="2"/>
        <v>0.5</v>
      </c>
      <c r="F51" s="240" t="str">
        <f t="shared" si="3"/>
        <v>-</v>
      </c>
      <c r="G51" s="175" t="s">
        <v>317</v>
      </c>
      <c r="H51" s="356" t="s">
        <v>320</v>
      </c>
      <c r="I51" s="356"/>
      <c r="J51" s="358" t="s">
        <v>297</v>
      </c>
      <c r="K51" s="359"/>
      <c r="L51" s="359"/>
      <c r="M51" s="359"/>
      <c r="N51" s="359"/>
      <c r="O51" s="359"/>
      <c r="P51" s="359"/>
      <c r="Q51" s="359"/>
      <c r="R51" s="360"/>
      <c r="U51" s="29">
        <f>IF(J51="有",1,0)</f>
        <v>0</v>
      </c>
      <c r="V51" s="33"/>
      <c r="W51" s="86"/>
      <c r="X51" s="33"/>
      <c r="AC51" s="54">
        <v>0.5</v>
      </c>
      <c r="AD51" s="63"/>
      <c r="AF51" s="34"/>
      <c r="AG51" s="34"/>
      <c r="AL51" s="93" t="s">
        <v>170</v>
      </c>
      <c r="AO51" s="87" t="str">
        <f t="shared" si="4"/>
        <v>-</v>
      </c>
    </row>
    <row r="52" spans="1:51" ht="25.95" customHeight="1" thickBot="1" x14ac:dyDescent="0.25">
      <c r="A52" s="20"/>
      <c r="B52" s="430"/>
      <c r="C52" s="394" t="s">
        <v>321</v>
      </c>
      <c r="D52" s="395"/>
      <c r="E52" s="246">
        <f t="shared" si="2"/>
        <v>0.5</v>
      </c>
      <c r="F52" s="240" t="str">
        <f t="shared" si="3"/>
        <v>-</v>
      </c>
      <c r="G52" s="175" t="s">
        <v>317</v>
      </c>
      <c r="H52" s="356" t="s">
        <v>320</v>
      </c>
      <c r="I52" s="356"/>
      <c r="J52" s="358" t="s">
        <v>297</v>
      </c>
      <c r="K52" s="359"/>
      <c r="L52" s="359"/>
      <c r="M52" s="359"/>
      <c r="N52" s="359"/>
      <c r="O52" s="359"/>
      <c r="P52" s="359"/>
      <c r="Q52" s="359"/>
      <c r="R52" s="360"/>
      <c r="U52" s="29">
        <f>IF(J52="有",1,0)</f>
        <v>0</v>
      </c>
      <c r="V52" s="33"/>
      <c r="W52" s="86"/>
      <c r="X52" s="33"/>
      <c r="AC52" s="54">
        <v>0.5</v>
      </c>
      <c r="AD52" s="63"/>
      <c r="AF52" s="34"/>
      <c r="AG52" s="34"/>
      <c r="AI52" s="29">
        <v>0</v>
      </c>
      <c r="AJ52" s="120"/>
      <c r="AK52" s="120"/>
      <c r="AL52" s="36">
        <v>0</v>
      </c>
      <c r="AO52" s="87" t="str">
        <f t="shared" si="4"/>
        <v>-</v>
      </c>
    </row>
    <row r="53" spans="1:51" ht="22.95" customHeight="1" thickBot="1" x14ac:dyDescent="0.25">
      <c r="A53" s="20"/>
      <c r="B53" s="430"/>
      <c r="C53" s="418" t="s">
        <v>213</v>
      </c>
      <c r="D53" s="419"/>
      <c r="E53" s="246">
        <f t="shared" si="2"/>
        <v>0.5</v>
      </c>
      <c r="F53" s="240" t="str">
        <f t="shared" si="3"/>
        <v>-</v>
      </c>
      <c r="G53" s="175" t="s">
        <v>318</v>
      </c>
      <c r="H53" s="356" t="s">
        <v>320</v>
      </c>
      <c r="I53" s="356"/>
      <c r="J53" s="358" t="s">
        <v>297</v>
      </c>
      <c r="K53" s="359"/>
      <c r="L53" s="359"/>
      <c r="M53" s="359"/>
      <c r="N53" s="359"/>
      <c r="O53" s="359"/>
      <c r="P53" s="359"/>
      <c r="Q53" s="359"/>
      <c r="R53" s="360"/>
      <c r="U53" s="29">
        <f>IF(J53="有",1,0)</f>
        <v>0</v>
      </c>
      <c r="V53" s="33"/>
      <c r="W53" s="86"/>
      <c r="X53" s="33"/>
      <c r="AC53" s="54">
        <v>0.5</v>
      </c>
      <c r="AD53" s="63"/>
      <c r="AF53" s="34"/>
      <c r="AG53" s="34"/>
      <c r="AI53" s="29">
        <v>42</v>
      </c>
      <c r="AJ53" s="29" t="s">
        <v>150</v>
      </c>
      <c r="AK53" s="29" t="s">
        <v>175</v>
      </c>
      <c r="AL53" s="36">
        <v>5</v>
      </c>
      <c r="AO53" s="87" t="str">
        <f t="shared" si="4"/>
        <v>-</v>
      </c>
    </row>
    <row r="54" spans="1:51" ht="25.95" customHeight="1" thickBot="1" x14ac:dyDescent="0.25">
      <c r="A54" s="20"/>
      <c r="B54" s="430"/>
      <c r="C54" s="367" t="s">
        <v>361</v>
      </c>
      <c r="D54" s="368"/>
      <c r="E54" s="197">
        <f t="shared" si="2"/>
        <v>0.5</v>
      </c>
      <c r="F54" s="214" t="str">
        <f t="shared" si="3"/>
        <v>-</v>
      </c>
      <c r="G54" s="176" t="s">
        <v>319</v>
      </c>
      <c r="H54" s="356" t="s">
        <v>320</v>
      </c>
      <c r="I54" s="356"/>
      <c r="J54" s="358" t="s">
        <v>297</v>
      </c>
      <c r="K54" s="359"/>
      <c r="L54" s="359"/>
      <c r="M54" s="359"/>
      <c r="N54" s="359"/>
      <c r="O54" s="359"/>
      <c r="P54" s="359"/>
      <c r="Q54" s="359"/>
      <c r="R54" s="360"/>
      <c r="U54" s="29">
        <f>IF(J54="有",1,0)</f>
        <v>0</v>
      </c>
      <c r="AA54" s="26"/>
      <c r="AB54" s="26"/>
      <c r="AC54" s="27">
        <v>0.5</v>
      </c>
      <c r="AD54" s="239" t="s">
        <v>153</v>
      </c>
      <c r="AE54" s="33"/>
      <c r="AF54" s="34"/>
      <c r="AG54" s="34"/>
      <c r="AI54" s="29">
        <v>41</v>
      </c>
      <c r="AJ54" s="29" t="s">
        <v>150</v>
      </c>
      <c r="AK54" s="29" t="s">
        <v>31</v>
      </c>
      <c r="AL54" s="36">
        <v>4</v>
      </c>
      <c r="AO54" s="87" t="str">
        <f t="shared" si="4"/>
        <v>-</v>
      </c>
      <c r="AR54" s="84" t="s">
        <v>240</v>
      </c>
    </row>
    <row r="55" spans="1:51" ht="52.95" customHeight="1" thickBot="1" x14ac:dyDescent="0.25">
      <c r="A55" s="20"/>
      <c r="B55" s="430"/>
      <c r="C55" s="367" t="s">
        <v>340</v>
      </c>
      <c r="D55" s="368"/>
      <c r="E55" s="197">
        <f t="shared" ref="E55" si="5">AC55</f>
        <v>0.5</v>
      </c>
      <c r="F55" s="214" t="str">
        <f>AO55</f>
        <v>-</v>
      </c>
      <c r="G55" s="176" t="s">
        <v>382</v>
      </c>
      <c r="H55" s="357" t="s">
        <v>320</v>
      </c>
      <c r="I55" s="357"/>
      <c r="J55" s="358" t="s">
        <v>297</v>
      </c>
      <c r="K55" s="359"/>
      <c r="L55" s="359"/>
      <c r="M55" s="359"/>
      <c r="N55" s="359"/>
      <c r="O55" s="359"/>
      <c r="P55" s="359"/>
      <c r="Q55" s="359"/>
      <c r="R55" s="360"/>
      <c r="U55" s="29">
        <f>IF(OR(J55=リスト!O4),1,0)</f>
        <v>0</v>
      </c>
      <c r="V55" s="29">
        <f>U22</f>
        <v>0</v>
      </c>
      <c r="W55" s="30"/>
      <c r="X55" s="31">
        <f>SUM(U55:V55)</f>
        <v>0</v>
      </c>
      <c r="Y55" s="32" t="s">
        <v>370</v>
      </c>
      <c r="Z55" s="33"/>
      <c r="AA55" s="34"/>
      <c r="AB55" s="35"/>
      <c r="AC55" s="36">
        <v>0.5</v>
      </c>
      <c r="AD55" s="37">
        <f>IF(X55=2,AC55,0)</f>
        <v>0</v>
      </c>
      <c r="AE55" s="33"/>
      <c r="AF55" s="34"/>
      <c r="AG55" s="34"/>
      <c r="AI55" s="29">
        <v>40</v>
      </c>
      <c r="AJ55" s="29" t="s">
        <v>150</v>
      </c>
      <c r="AK55" s="29" t="s">
        <v>5</v>
      </c>
      <c r="AL55" s="36">
        <v>3</v>
      </c>
      <c r="AO55" s="87" t="str">
        <f>IF(X55=2,AC55,"-")</f>
        <v>-</v>
      </c>
      <c r="AR55" s="84" t="s">
        <v>240</v>
      </c>
    </row>
    <row r="56" spans="1:51" ht="25.95" customHeight="1" thickBot="1" x14ac:dyDescent="0.25">
      <c r="A56" s="20"/>
      <c r="B56" s="370"/>
      <c r="C56" s="468" t="s">
        <v>362</v>
      </c>
      <c r="D56" s="468"/>
      <c r="E56" s="245">
        <f t="shared" ref="E56" si="6">AC56</f>
        <v>2.5</v>
      </c>
      <c r="F56" s="238" t="str">
        <f>AO56</f>
        <v>-</v>
      </c>
      <c r="G56" s="177" t="s">
        <v>312</v>
      </c>
      <c r="H56" s="356" t="s">
        <v>320</v>
      </c>
      <c r="I56" s="356"/>
      <c r="J56" s="364" t="s">
        <v>297</v>
      </c>
      <c r="K56" s="365"/>
      <c r="L56" s="365"/>
      <c r="M56" s="365"/>
      <c r="N56" s="365"/>
      <c r="O56" s="365"/>
      <c r="P56" s="365"/>
      <c r="Q56" s="365"/>
      <c r="R56" s="366"/>
      <c r="U56" s="88">
        <f>IF(AND('1.基本データ(このシートは削除しないこと！)'!H16=1,J56=リスト!K9),1,0)</f>
        <v>0</v>
      </c>
      <c r="V56" s="29">
        <f>IF(AND('1.基本データ(このシートは削除しないこと！)'!H16=1,J56=リスト!K10),1,0)</f>
        <v>0</v>
      </c>
      <c r="W56" s="29">
        <f>IF(AND('1.基本データ(このシートは削除しないこと！)'!H16=10,J56=リスト!K11),1,0)</f>
        <v>0</v>
      </c>
      <c r="X56" s="19">
        <f>SUM(U56:W56)</f>
        <v>0</v>
      </c>
      <c r="Y56" s="32" t="s">
        <v>226</v>
      </c>
      <c r="AA56" s="53"/>
      <c r="AB56" s="89" t="s">
        <v>223</v>
      </c>
      <c r="AC56" s="90">
        <v>2.5</v>
      </c>
      <c r="AD56" s="91">
        <f>U56*AC56</f>
        <v>0</v>
      </c>
      <c r="AE56" s="491" t="str">
        <f>IF('1.基本データ(このシートは削除しないこと！)'!H16=1,MAX(AD56:AD57),"-")</f>
        <v>-</v>
      </c>
      <c r="AI56" s="29">
        <v>32</v>
      </c>
      <c r="AJ56" s="29" t="s">
        <v>151</v>
      </c>
      <c r="AK56" s="29" t="s">
        <v>175</v>
      </c>
      <c r="AL56" s="36">
        <v>3</v>
      </c>
      <c r="AO56" s="92" t="str">
        <f>IF(X56=1,MAX(AE56:AE58),"-")</f>
        <v>-</v>
      </c>
      <c r="AR56" s="93" t="s">
        <v>259</v>
      </c>
      <c r="AS56" s="93" t="s">
        <v>260</v>
      </c>
      <c r="AX56" s="42"/>
      <c r="AY56" s="33"/>
    </row>
    <row r="57" spans="1:51" ht="30" customHeight="1" thickBot="1" x14ac:dyDescent="0.25">
      <c r="A57" s="20"/>
      <c r="B57" s="370"/>
      <c r="C57" s="431" t="s">
        <v>363</v>
      </c>
      <c r="D57" s="431"/>
      <c r="E57" s="432">
        <f>AL53</f>
        <v>5</v>
      </c>
      <c r="F57" s="433" t="str">
        <f>IF(OR(J58="-",J59="-"),"-",AP64)</f>
        <v>-</v>
      </c>
      <c r="G57" s="469" t="s">
        <v>258</v>
      </c>
      <c r="H57" s="470"/>
      <c r="I57" s="470"/>
      <c r="J57" s="470"/>
      <c r="K57" s="470"/>
      <c r="L57" s="470"/>
      <c r="M57" s="470"/>
      <c r="N57" s="470"/>
      <c r="O57" s="470"/>
      <c r="P57" s="471"/>
      <c r="Q57" s="441" t="s">
        <v>427</v>
      </c>
      <c r="R57" s="442"/>
      <c r="AB57" s="94" t="s">
        <v>224</v>
      </c>
      <c r="AC57" s="95">
        <v>1.5</v>
      </c>
      <c r="AD57" s="96">
        <f>V56*AC57</f>
        <v>0</v>
      </c>
      <c r="AE57" s="492"/>
      <c r="AI57" s="29">
        <v>31</v>
      </c>
      <c r="AJ57" s="29" t="s">
        <v>151</v>
      </c>
      <c r="AK57" s="29" t="s">
        <v>31</v>
      </c>
      <c r="AL57" s="36">
        <v>2</v>
      </c>
      <c r="AN57" s="97" t="s">
        <v>265</v>
      </c>
      <c r="AR57" s="98">
        <f>IF($V60="同一市町村",1,10)</f>
        <v>10</v>
      </c>
      <c r="AS57" s="98">
        <f>IF($V63="同一市町村",1,10)</f>
        <v>10</v>
      </c>
      <c r="AX57" s="42"/>
      <c r="AY57" s="33"/>
    </row>
    <row r="58" spans="1:51" ht="30" customHeight="1" thickBot="1" x14ac:dyDescent="0.25">
      <c r="A58" s="20"/>
      <c r="B58" s="370"/>
      <c r="C58" s="431"/>
      <c r="D58" s="431"/>
      <c r="E58" s="432"/>
      <c r="F58" s="433"/>
      <c r="G58" s="182" t="s">
        <v>326</v>
      </c>
      <c r="H58" s="356" t="s">
        <v>320</v>
      </c>
      <c r="I58" s="356"/>
      <c r="J58" s="507" t="s">
        <v>297</v>
      </c>
      <c r="K58" s="508"/>
      <c r="L58" s="508"/>
      <c r="M58" s="508"/>
      <c r="N58" s="508"/>
      <c r="O58" s="508"/>
      <c r="P58" s="509"/>
      <c r="Q58" s="441"/>
      <c r="R58" s="442"/>
      <c r="U58" s="8" t="s">
        <v>257</v>
      </c>
      <c r="V58" s="99" t="str">
        <f>VLOOKUP(J58,リスト2!$C$3:$E$65,2,FALSE)</f>
        <v>-</v>
      </c>
      <c r="W58" s="100"/>
      <c r="AB58" s="101" t="s">
        <v>225</v>
      </c>
      <c r="AC58" s="102">
        <v>2.5</v>
      </c>
      <c r="AD58" s="103">
        <f>W56*AC58</f>
        <v>0</v>
      </c>
      <c r="AE58" s="104">
        <f>IF('1.基本データ(このシートは削除しないこと！)'!H16=10,AD58,"-")</f>
        <v>0</v>
      </c>
      <c r="AI58" s="29">
        <v>30</v>
      </c>
      <c r="AJ58" s="29" t="s">
        <v>151</v>
      </c>
      <c r="AK58" s="29" t="s">
        <v>5</v>
      </c>
      <c r="AL58" s="36">
        <v>1.5</v>
      </c>
      <c r="AN58" s="105" t="e">
        <f>VLOOKUP(AB60,AI57:AK64,3,FALSE)</f>
        <v>#N/A</v>
      </c>
      <c r="AR58" s="98">
        <f>IF($V60="同一土木",2,10)</f>
        <v>10</v>
      </c>
      <c r="AS58" s="98">
        <f>IF($V63="同一土木",2,10)</f>
        <v>10</v>
      </c>
      <c r="AX58" s="42"/>
      <c r="AY58" s="33"/>
    </row>
    <row r="59" spans="1:51" ht="30" customHeight="1" thickBot="1" x14ac:dyDescent="0.25">
      <c r="A59" s="20"/>
      <c r="B59" s="370"/>
      <c r="C59" s="431"/>
      <c r="D59" s="431"/>
      <c r="E59" s="432"/>
      <c r="F59" s="433"/>
      <c r="G59" s="10" t="s">
        <v>327</v>
      </c>
      <c r="H59" s="356" t="s">
        <v>320</v>
      </c>
      <c r="I59" s="356"/>
      <c r="J59" s="510" t="s">
        <v>297</v>
      </c>
      <c r="K59" s="511"/>
      <c r="L59" s="511"/>
      <c r="M59" s="511"/>
      <c r="N59" s="511"/>
      <c r="O59" s="511"/>
      <c r="P59" s="512"/>
      <c r="Q59" s="441"/>
      <c r="R59" s="442"/>
      <c r="S59" s="106"/>
      <c r="U59" s="8" t="s">
        <v>248</v>
      </c>
      <c r="V59" s="99" t="str">
        <f>VLOOKUP(J58,リスト2!$C$3:$E$65,3,FALSE)</f>
        <v>-</v>
      </c>
      <c r="W59" s="100"/>
      <c r="Y59" s="230" t="s">
        <v>278</v>
      </c>
      <c r="Z59" s="230"/>
      <c r="AA59" s="230"/>
      <c r="AB59" s="230"/>
      <c r="AD59" s="231" t="s">
        <v>279</v>
      </c>
      <c r="AE59" s="230"/>
      <c r="AF59" s="230"/>
      <c r="AI59" s="29">
        <v>22</v>
      </c>
      <c r="AJ59" s="29" t="s">
        <v>152</v>
      </c>
      <c r="AK59" s="29" t="s">
        <v>175</v>
      </c>
      <c r="AL59" s="36">
        <v>2</v>
      </c>
      <c r="AR59" s="98">
        <f>IF($V60="同一建設",3,10)</f>
        <v>10</v>
      </c>
      <c r="AS59" s="98">
        <f>IF($V63="同一建設",3,10)</f>
        <v>10</v>
      </c>
      <c r="AX59" s="42"/>
      <c r="AY59" s="33"/>
    </row>
    <row r="60" spans="1:51" ht="28.2" customHeight="1" thickBot="1" x14ac:dyDescent="0.25">
      <c r="A60" s="20"/>
      <c r="B60" s="370"/>
      <c r="C60" s="431"/>
      <c r="D60" s="431"/>
      <c r="E60" s="432"/>
      <c r="F60" s="433"/>
      <c r="G60" s="469" t="s">
        <v>281</v>
      </c>
      <c r="H60" s="470"/>
      <c r="I60" s="470"/>
      <c r="J60" s="470"/>
      <c r="K60" s="470"/>
      <c r="L60" s="470"/>
      <c r="M60" s="470"/>
      <c r="N60" s="470"/>
      <c r="O60" s="470"/>
      <c r="P60" s="471"/>
      <c r="Q60" s="441"/>
      <c r="R60" s="442"/>
      <c r="S60" s="106"/>
      <c r="U60" s="8" t="s">
        <v>252</v>
      </c>
      <c r="V60" s="9" t="str">
        <f>IF(J58="-","-",VLOOKUP($AB$60,AI53:AL64,2,FALSE))</f>
        <v>-</v>
      </c>
      <c r="W60" s="9" t="str">
        <f>IF(J59="本店","本店",IF(J59="準本店","準本店","支店等"))</f>
        <v>支店等</v>
      </c>
      <c r="Y60" s="108" t="s">
        <v>155</v>
      </c>
      <c r="Z60" s="109" t="s">
        <v>428</v>
      </c>
      <c r="AA60" s="109" t="s">
        <v>429</v>
      </c>
      <c r="AB60" s="110">
        <f>IF(J58="-",0,MAX(AB61:AB64))</f>
        <v>0</v>
      </c>
      <c r="AD60" s="108" t="s">
        <v>155</v>
      </c>
      <c r="AE60" s="109" t="s">
        <v>429</v>
      </c>
      <c r="AF60" s="111">
        <f>IF(J61="-",0,MAX(AF61:AF64))</f>
        <v>0</v>
      </c>
      <c r="AG60" s="31">
        <f>AB60-AF60</f>
        <v>0</v>
      </c>
      <c r="AI60" s="29">
        <v>21</v>
      </c>
      <c r="AJ60" s="29" t="s">
        <v>152</v>
      </c>
      <c r="AK60" s="29" t="s">
        <v>31</v>
      </c>
      <c r="AL60" s="36">
        <v>1</v>
      </c>
      <c r="AN60" s="116" t="s">
        <v>153</v>
      </c>
      <c r="AO60" s="66"/>
      <c r="AR60" s="112">
        <f>IF($V60="県内",4,10)</f>
        <v>10</v>
      </c>
      <c r="AS60" s="112">
        <f>IF($V63="県内",4,10)</f>
        <v>10</v>
      </c>
      <c r="AT60" s="113"/>
      <c r="AX60" s="42"/>
      <c r="AY60" s="33"/>
    </row>
    <row r="61" spans="1:51" ht="28.2" customHeight="1" thickTop="1" thickBot="1" x14ac:dyDescent="0.25">
      <c r="A61" s="20"/>
      <c r="B61" s="370"/>
      <c r="C61" s="431"/>
      <c r="D61" s="431"/>
      <c r="E61" s="432"/>
      <c r="F61" s="433"/>
      <c r="G61" s="182" t="s">
        <v>328</v>
      </c>
      <c r="H61" s="356" t="s">
        <v>320</v>
      </c>
      <c r="I61" s="356"/>
      <c r="J61" s="507" t="s">
        <v>297</v>
      </c>
      <c r="K61" s="508"/>
      <c r="L61" s="508"/>
      <c r="M61" s="508"/>
      <c r="N61" s="508"/>
      <c r="O61" s="508"/>
      <c r="P61" s="509"/>
      <c r="Q61" s="441"/>
      <c r="R61" s="442"/>
      <c r="S61" s="106"/>
      <c r="T61" s="106"/>
      <c r="U61" s="8" t="s">
        <v>257</v>
      </c>
      <c r="V61" s="99" t="str">
        <f>VLOOKUP(J61,リスト2!$C$3:$E$65,2,FALSE)</f>
        <v>-</v>
      </c>
      <c r="W61" s="99" t="str">
        <f>IF(J62="有","有","-")</f>
        <v>-</v>
      </c>
      <c r="Y61" s="88">
        <f>IF(OR(J58='1.基本データ(このシートは削除しないこと！)'!D19,J58='1.基本データ(このシートは削除しないこと！)'!E19),40,0)</f>
        <v>40</v>
      </c>
      <c r="Z61" s="88">
        <f>IF(OR(J59="本店"),2,0)</f>
        <v>0</v>
      </c>
      <c r="AA61" s="88">
        <f>IF(OR(J59="準本店"),1,0)</f>
        <v>0</v>
      </c>
      <c r="AB61" s="88">
        <f>SUM(Y61:AA61)</f>
        <v>40</v>
      </c>
      <c r="AC61" s="19" t="s">
        <v>158</v>
      </c>
      <c r="AD61" s="88">
        <f>IF(OR(J61='1.基本データ(このシートは削除しないこと！)'!D19,J61='1.基本データ(このシートは削除しないこと！)'!E19),40,0)</f>
        <v>40</v>
      </c>
      <c r="AE61" s="88">
        <f>IF(J62="準本店",1,0)</f>
        <v>0</v>
      </c>
      <c r="AF61" s="88">
        <f>SUM(AD61:AE61)</f>
        <v>40</v>
      </c>
      <c r="AG61" s="19" t="s">
        <v>158</v>
      </c>
      <c r="AI61" s="29">
        <v>20</v>
      </c>
      <c r="AJ61" s="29" t="s">
        <v>152</v>
      </c>
      <c r="AK61" s="29" t="s">
        <v>5</v>
      </c>
      <c r="AL61" s="36">
        <v>0.5</v>
      </c>
      <c r="AN61" s="118" t="s">
        <v>156</v>
      </c>
      <c r="AO61" s="118" t="s">
        <v>154</v>
      </c>
      <c r="AR61" s="114">
        <f>MIN(AR57:AR60)</f>
        <v>10</v>
      </c>
      <c r="AS61" s="114">
        <f>MIN(AS57:AS60)</f>
        <v>10</v>
      </c>
      <c r="AU61" s="115"/>
      <c r="AV61" s="115"/>
      <c r="AX61" s="42"/>
      <c r="AY61" s="33"/>
    </row>
    <row r="62" spans="1:51" ht="25.2" customHeight="1" thickBot="1" x14ac:dyDescent="0.25">
      <c r="A62" s="20"/>
      <c r="B62" s="370"/>
      <c r="C62" s="431"/>
      <c r="D62" s="431"/>
      <c r="E62" s="432"/>
      <c r="F62" s="433"/>
      <c r="G62" s="183" t="s">
        <v>329</v>
      </c>
      <c r="H62" s="356" t="s">
        <v>331</v>
      </c>
      <c r="I62" s="356"/>
      <c r="J62" s="510" t="s">
        <v>297</v>
      </c>
      <c r="K62" s="511"/>
      <c r="L62" s="511"/>
      <c r="M62" s="511"/>
      <c r="N62" s="511"/>
      <c r="O62" s="511"/>
      <c r="P62" s="512"/>
      <c r="Q62" s="441"/>
      <c r="R62" s="442"/>
      <c r="S62" s="106"/>
      <c r="T62" s="106"/>
      <c r="U62" s="8" t="s">
        <v>248</v>
      </c>
      <c r="V62" s="99" t="str">
        <f>VLOOKUP(J61,リスト2!$C$3:$E$65,3,FALSE)</f>
        <v>-</v>
      </c>
      <c r="W62" s="99" t="str">
        <f>IF(J62="有","有","-")</f>
        <v>-</v>
      </c>
      <c r="Y62" s="29">
        <f>IF(OR(V58='1.基本データ(このシートは削除しないこと！)'!D20,V58='1.基本データ(このシートは削除しないこと！)'!E20),30,0)</f>
        <v>30</v>
      </c>
      <c r="Z62" s="29">
        <f>IF(OR(J59="本店"),2,0)</f>
        <v>0</v>
      </c>
      <c r="AA62" s="88">
        <f>IF(OR(J59="準本店"),1,0)</f>
        <v>0</v>
      </c>
      <c r="AB62" s="88">
        <f>SUM(Y62:AA62)</f>
        <v>30</v>
      </c>
      <c r="AC62" s="19" t="s">
        <v>159</v>
      </c>
      <c r="AD62" s="29">
        <f>IF(OR(V61='1.基本データ(このシートは削除しないこと！)'!D20,V61='1.基本データ(このシートは削除しないこと！)'!E20),30,0)</f>
        <v>30</v>
      </c>
      <c r="AE62" s="29">
        <f>IF(J62="準本店",1,0)</f>
        <v>0</v>
      </c>
      <c r="AF62" s="88">
        <f>SUM(AD62:AE62)</f>
        <v>30</v>
      </c>
      <c r="AG62" s="19" t="s">
        <v>159</v>
      </c>
      <c r="AI62" s="29">
        <v>12</v>
      </c>
      <c r="AJ62" s="29" t="s">
        <v>6</v>
      </c>
      <c r="AK62" s="29" t="s">
        <v>175</v>
      </c>
      <c r="AL62" s="36">
        <v>2</v>
      </c>
      <c r="AM62" s="266" t="s">
        <v>383</v>
      </c>
      <c r="AN62" s="36" t="e">
        <f>IF(AND('1.基本データ(このシートは削除しないこと！)'!$H$17=2,AB60&gt;=30),VLOOKUP(AB60,AI52:AL58,4,0),0)</f>
        <v>#N/A</v>
      </c>
      <c r="AO62" s="36" t="e">
        <f>IF(AND('1.基本データ(このシートは削除しないこと！)'!$H$17=2,AF60&gt;=30),VLOOKUP(AF60,AI52:AL58,4,0),0)</f>
        <v>#N/A</v>
      </c>
      <c r="AP62" s="85"/>
      <c r="AS62" s="98">
        <f>MIN(AR61:AS61)</f>
        <v>10</v>
      </c>
      <c r="AT62" s="84" t="s">
        <v>241</v>
      </c>
      <c r="AX62" s="42"/>
      <c r="AY62" s="33"/>
    </row>
    <row r="63" spans="1:51" ht="25.2" customHeight="1" thickBot="1" x14ac:dyDescent="0.25">
      <c r="A63" s="20"/>
      <c r="B63" s="370"/>
      <c r="C63" s="431"/>
      <c r="D63" s="431"/>
      <c r="E63" s="432"/>
      <c r="F63" s="433"/>
      <c r="G63" s="184" t="s">
        <v>330</v>
      </c>
      <c r="H63" s="187"/>
      <c r="I63" s="185"/>
      <c r="J63" s="513" t="str">
        <f>IF(J58="-","-",V64)</f>
        <v>-</v>
      </c>
      <c r="K63" s="514"/>
      <c r="L63" s="514"/>
      <c r="M63" s="514"/>
      <c r="N63" s="514"/>
      <c r="O63" s="514"/>
      <c r="P63" s="515"/>
      <c r="Q63" s="441"/>
      <c r="R63" s="442"/>
      <c r="S63" s="117"/>
      <c r="T63" s="117"/>
      <c r="U63" s="11" t="s">
        <v>252</v>
      </c>
      <c r="V63" s="12" t="str">
        <f>IF(J61="-","-",VLOOKUP(AF60,AI53:AL64,2,FALSE))</f>
        <v>-</v>
      </c>
      <c r="W63" s="12" t="str">
        <f>IF(J61="-","-",VLOOKUP($AF$60,AI52:AL64,3,FALSE))</f>
        <v>-</v>
      </c>
      <c r="Y63" s="29">
        <f>IF(OR(V59='1.基本データ(このシートは削除しないこと！)'!D21,V59='1.基本データ(このシートは削除しないこと！)'!E21),20,0)</f>
        <v>20</v>
      </c>
      <c r="Z63" s="29">
        <f>IF(OR(J59="本店"),2,0)</f>
        <v>0</v>
      </c>
      <c r="AA63" s="88">
        <f>IF(OR(J59="準本店"),1,0)</f>
        <v>0</v>
      </c>
      <c r="AB63" s="88">
        <f>SUM(Y63:AA63)</f>
        <v>20</v>
      </c>
      <c r="AC63" s="19" t="s">
        <v>160</v>
      </c>
      <c r="AD63" s="29">
        <f>IF(OR(V62='1.基本データ(このシートは削除しないこと！)'!D21,V62='1.基本データ(このシートは削除しないこと！)'!E21),20,0)</f>
        <v>20</v>
      </c>
      <c r="AE63" s="29">
        <f>IF(J62="準本店",1,0)</f>
        <v>0</v>
      </c>
      <c r="AF63" s="88">
        <f>SUM(AD63:AE63)</f>
        <v>20</v>
      </c>
      <c r="AG63" s="19" t="s">
        <v>160</v>
      </c>
      <c r="AI63" s="29">
        <v>11</v>
      </c>
      <c r="AJ63" s="29" t="s">
        <v>6</v>
      </c>
      <c r="AK63" s="29" t="s">
        <v>31</v>
      </c>
      <c r="AL63" s="36">
        <v>1</v>
      </c>
      <c r="AM63" s="267" t="s">
        <v>384</v>
      </c>
      <c r="AN63" s="36" t="e">
        <f>IF(AND('1.基本データ(このシートは削除しないこと！)'!$H$17=3,AB60&gt;=20),VLOOKUP(AB60,AI52:AL61,4,0),0)</f>
        <v>#N/A</v>
      </c>
      <c r="AO63" s="36" t="e">
        <f>IF(AND('1.基本データ(このシートは削除しないこと！)'!$H$17=3,AF60&gt;=20),VLOOKUP(AF60,AI52:AL61,4,0),0)</f>
        <v>#N/A</v>
      </c>
      <c r="AP63" s="232" t="s">
        <v>173</v>
      </c>
      <c r="AS63" s="31" t="e">
        <f>IF(AS62&lt;='1.基本データ(このシートは削除しないこと！)'!H17,1,0)</f>
        <v>#N/A</v>
      </c>
      <c r="AT63" s="19" t="s">
        <v>263</v>
      </c>
      <c r="AX63" s="42"/>
      <c r="AY63" s="33"/>
    </row>
    <row r="64" spans="1:51" ht="25.2" customHeight="1" thickBot="1" x14ac:dyDescent="0.25">
      <c r="A64" s="20"/>
      <c r="B64" s="370"/>
      <c r="C64" s="431"/>
      <c r="D64" s="431"/>
      <c r="E64" s="432"/>
      <c r="F64" s="433"/>
      <c r="G64" s="186"/>
      <c r="H64" s="188"/>
      <c r="I64" s="189" t="s">
        <v>333</v>
      </c>
      <c r="J64" s="516" t="str">
        <f>IF(J59="-","-",W64)</f>
        <v>-</v>
      </c>
      <c r="K64" s="517"/>
      <c r="L64" s="517"/>
      <c r="M64" s="517"/>
      <c r="N64" s="517"/>
      <c r="O64" s="517"/>
      <c r="P64" s="518"/>
      <c r="Q64" s="443"/>
      <c r="R64" s="444"/>
      <c r="S64" s="117"/>
      <c r="T64" s="117"/>
      <c r="U64" s="13" t="s">
        <v>280</v>
      </c>
      <c r="V64" s="119" t="str">
        <f>IF(AG60&gt;=0,V60,V63)</f>
        <v>-</v>
      </c>
      <c r="W64" s="119" t="str">
        <f>IF(AG60&gt;=0,W60,W63)</f>
        <v>支店等</v>
      </c>
      <c r="Y64" s="29">
        <f>IF(OR(V59='1.基本データ(このシートは削除しないこと！)'!D21,V59='1.基本データ(このシートは削除しないこと！)'!E21),0,10)</f>
        <v>0</v>
      </c>
      <c r="Z64" s="29">
        <f>IF(OR(J59="本店"),2,0)</f>
        <v>0</v>
      </c>
      <c r="AA64" s="88">
        <f>IF(OR(J59="準本店"),1,0)</f>
        <v>0</v>
      </c>
      <c r="AB64" s="88">
        <f>SUM(Y64:AA64)</f>
        <v>0</v>
      </c>
      <c r="AC64" s="19" t="s">
        <v>157</v>
      </c>
      <c r="AD64" s="29">
        <f>IF(OR(V62='1.基本データ(このシートは削除しないこと！)'!D21,V62='1.基本データ(このシートは削除しないこと！)'!E21),0,10)</f>
        <v>0</v>
      </c>
      <c r="AE64" s="29">
        <f>IF(J62="準本店",1,0)</f>
        <v>0</v>
      </c>
      <c r="AF64" s="29">
        <f>SUM(AD64:AE64)</f>
        <v>0</v>
      </c>
      <c r="AG64" s="19" t="s">
        <v>157</v>
      </c>
      <c r="AI64" s="29">
        <v>10</v>
      </c>
      <c r="AJ64" s="29" t="s">
        <v>6</v>
      </c>
      <c r="AK64" s="29" t="s">
        <v>5</v>
      </c>
      <c r="AL64" s="36">
        <v>0.5</v>
      </c>
      <c r="AM64" s="267" t="s">
        <v>385</v>
      </c>
      <c r="AN64" s="36" t="e">
        <f>IF(AND('1.基本データ(このシートは削除しないこと！)'!$H$17=4,AB60&gt;=10),VLOOKUP(AB60,AI52:AL64,4,0),0)</f>
        <v>#N/A</v>
      </c>
      <c r="AO64" s="36" t="e">
        <f>IF(AND('1.基本データ(このシートは削除しないこと！)'!$H$17=4,AF60&gt;=10),VLOOKUP(AF60,AI52:AL64,4,0),0)</f>
        <v>#N/A</v>
      </c>
      <c r="AP64" s="233" t="e">
        <f>MAX(AN62:AO64)</f>
        <v>#N/A</v>
      </c>
      <c r="AQ64" s="115"/>
      <c r="AX64" s="42"/>
      <c r="AY64" s="33"/>
    </row>
    <row r="65" spans="1:53" ht="20.100000000000001" customHeight="1" thickBot="1" x14ac:dyDescent="0.25">
      <c r="A65" s="20"/>
      <c r="B65" s="486" t="e">
        <f>IF(OR(F57="-",AR66=1),"","※入札参加者の所在地が地域要件ごとの評価対象エリア外のため、「ボランティア活動」と「選択項目」は評価対象外です。")</f>
        <v>#N/A</v>
      </c>
      <c r="C65" s="486"/>
      <c r="D65" s="486"/>
      <c r="E65" s="486"/>
      <c r="F65" s="486"/>
      <c r="G65" s="486"/>
      <c r="H65" s="487"/>
      <c r="I65" s="487"/>
      <c r="J65" s="487"/>
      <c r="K65" s="487"/>
      <c r="L65" s="487"/>
      <c r="M65" s="487"/>
      <c r="N65" s="487"/>
      <c r="O65" s="487"/>
      <c r="P65" s="487"/>
      <c r="Q65" s="487"/>
      <c r="R65" s="486"/>
      <c r="S65" s="117"/>
      <c r="T65" s="117"/>
      <c r="X65" s="117"/>
      <c r="Y65" s="121"/>
      <c r="Z65" s="122"/>
      <c r="AA65" s="123"/>
      <c r="AB65" s="123"/>
      <c r="AC65" s="124"/>
      <c r="AG65" s="33"/>
      <c r="AH65" s="33"/>
      <c r="AI65" s="33"/>
      <c r="AJ65" s="42"/>
      <c r="AM65" s="33"/>
      <c r="AN65" s="33"/>
      <c r="AO65" s="33"/>
      <c r="AP65" s="33"/>
      <c r="AR65" s="19" t="s">
        <v>264</v>
      </c>
    </row>
    <row r="66" spans="1:53" ht="32.1" customHeight="1" thickBot="1" x14ac:dyDescent="0.25">
      <c r="A66" s="20"/>
      <c r="B66" s="415" t="s">
        <v>0</v>
      </c>
      <c r="C66" s="415"/>
      <c r="D66" s="415"/>
      <c r="E66" s="24" t="s">
        <v>174</v>
      </c>
      <c r="F66" s="198" t="s">
        <v>3</v>
      </c>
      <c r="G66" s="438" t="s">
        <v>233</v>
      </c>
      <c r="H66" s="439"/>
      <c r="I66" s="439"/>
      <c r="J66" s="439"/>
      <c r="K66" s="439"/>
      <c r="L66" s="439"/>
      <c r="M66" s="439"/>
      <c r="N66" s="439"/>
      <c r="O66" s="439"/>
      <c r="P66" s="440"/>
      <c r="Q66" s="14" t="s">
        <v>284</v>
      </c>
      <c r="R66" s="125" t="s">
        <v>294</v>
      </c>
      <c r="S66" s="117"/>
      <c r="T66" s="117"/>
      <c r="U66" s="126" t="s">
        <v>167</v>
      </c>
      <c r="V66" s="126" t="s">
        <v>232</v>
      </c>
      <c r="W66" s="126" t="s">
        <v>262</v>
      </c>
      <c r="X66" s="127" t="s">
        <v>161</v>
      </c>
      <c r="Y66" s="128" t="s">
        <v>163</v>
      </c>
      <c r="Z66" s="129" t="s">
        <v>162</v>
      </c>
      <c r="AA66" s="128" t="s">
        <v>164</v>
      </c>
      <c r="AB66" s="129" t="s">
        <v>165</v>
      </c>
      <c r="AC66" s="130" t="s">
        <v>166</v>
      </c>
      <c r="AD66" s="130" t="s">
        <v>261</v>
      </c>
      <c r="AE66" s="268" t="s">
        <v>387</v>
      </c>
      <c r="AF66" s="131" t="s">
        <v>168</v>
      </c>
      <c r="AG66" s="131" t="s">
        <v>169</v>
      </c>
      <c r="AH66" s="131" t="s">
        <v>247</v>
      </c>
      <c r="AJ66" s="131" t="s">
        <v>171</v>
      </c>
      <c r="AK66" s="131" t="s">
        <v>172</v>
      </c>
      <c r="AL66" s="131" t="s">
        <v>247</v>
      </c>
      <c r="AM66" s="269" t="s">
        <v>383</v>
      </c>
      <c r="AN66" s="269" t="s">
        <v>386</v>
      </c>
      <c r="AO66" s="270" t="s">
        <v>385</v>
      </c>
      <c r="AP66" s="232" t="s">
        <v>173</v>
      </c>
      <c r="AR66" s="31" t="e">
        <f>IF(AR61&lt;'1.基本データ(このシートは削除しないこと！)'!H17+1,1,0)</f>
        <v>#N/A</v>
      </c>
      <c r="AS66" s="19" t="s">
        <v>242</v>
      </c>
      <c r="AU66" s="33"/>
      <c r="AV66" s="33"/>
      <c r="AW66" s="33"/>
      <c r="AX66" s="33"/>
      <c r="AY66" s="33"/>
      <c r="AZ66" s="33"/>
      <c r="BA66" s="33"/>
    </row>
    <row r="67" spans="1:53" ht="28.2" customHeight="1" thickBot="1" x14ac:dyDescent="0.25">
      <c r="A67" s="20"/>
      <c r="B67" s="478" t="s">
        <v>227</v>
      </c>
      <c r="C67" s="434" t="s">
        <v>364</v>
      </c>
      <c r="D67" s="435"/>
      <c r="E67" s="243">
        <f>AF67</f>
        <v>2</v>
      </c>
      <c r="F67" s="240" t="e">
        <f>IF(OR(AR$66=0,U67=0),"-",AP67)</f>
        <v>#N/A</v>
      </c>
      <c r="G67" s="462" t="s">
        <v>272</v>
      </c>
      <c r="H67" s="480"/>
      <c r="I67" s="480"/>
      <c r="J67" s="480"/>
      <c r="K67" s="480"/>
      <c r="L67" s="480"/>
      <c r="M67" s="480"/>
      <c r="N67" s="480"/>
      <c r="O67" s="480"/>
      <c r="P67" s="480"/>
      <c r="Q67" s="236" t="s">
        <v>297</v>
      </c>
      <c r="R67" s="229" t="s">
        <v>297</v>
      </c>
      <c r="S67" s="117"/>
      <c r="T67" s="117"/>
      <c r="U67" s="29">
        <f t="shared" ref="U67:U77" si="7">IF(Q67="有",1,0)</f>
        <v>0</v>
      </c>
      <c r="V67" s="120"/>
      <c r="W67" s="29">
        <f>IF(R67="-",0,1)</f>
        <v>0</v>
      </c>
      <c r="X67" s="132">
        <f>IF(OR(R67='1.基本データ(このシートは削除しないこと！)'!$D$19,R67='1.基本データ(このシートは削除しないこと！)'!$E$19),1,0)</f>
        <v>1</v>
      </c>
      <c r="Y67" s="133" t="str">
        <f>VLOOKUP(R67,リスト2!$C$3:$E$65,2,FALSE)</f>
        <v>-</v>
      </c>
      <c r="Z67" s="134">
        <f>IF(OR(Y67='1.基本データ(このシートは削除しないこと！)'!$D$20,Y67='1.基本データ(このシートは削除しないこと！)'!$E$20),1,0)</f>
        <v>1</v>
      </c>
      <c r="AA67" s="133" t="str">
        <f>VLOOKUP(R67,リスト2!$C$3:$E$65,3,FALSE)</f>
        <v>-</v>
      </c>
      <c r="AB67" s="134">
        <f>IF(OR(AA67='1.基本データ(このシートは削除しないこと！)'!$D$21,AA67='1.基本データ(このシートは削除しないこと！)'!$E$21),1,0)</f>
        <v>1</v>
      </c>
      <c r="AC67" s="135">
        <f t="shared" ref="AC67:AC73" si="8">X67+Z67+AB67</f>
        <v>3</v>
      </c>
      <c r="AD67" s="135">
        <f>IF(AND('1.基本データ(このシートは削除しないこと！)'!$D$17="全国",AA67&lt;&gt;"-"),4,0)</f>
        <v>0</v>
      </c>
      <c r="AE67" s="271" t="str">
        <f>VLOOKUP(R67,リスト2!$C$3:$F$65,4,FALSE)</f>
        <v>-</v>
      </c>
      <c r="AF67" s="137">
        <v>2</v>
      </c>
      <c r="AG67" s="137">
        <v>2</v>
      </c>
      <c r="AH67" s="137">
        <v>2</v>
      </c>
      <c r="AJ67" s="138">
        <f>IF($U67*$W67*$AC67=3,AF67,0)</f>
        <v>0</v>
      </c>
      <c r="AK67" s="138">
        <f>IF($U67*$W67*$AC67=2,AG67,0)</f>
        <v>0</v>
      </c>
      <c r="AL67" s="138">
        <f>IF(OR($U67*$W67*$AC67=1,$U67*$W67*AD67=4),AH67,0)</f>
        <v>0</v>
      </c>
      <c r="AM67" s="54" t="e">
        <f>IF('1.基本データ(このシートは削除しないこと！)'!$H$17=2,MAX(AJ67:AK67),0)</f>
        <v>#N/A</v>
      </c>
      <c r="AN67" s="54" t="e">
        <f>IF('1.基本データ(このシートは削除しないこと！)'!$H$17=3,MAX(AJ67:AL67),0)</f>
        <v>#N/A</v>
      </c>
      <c r="AO67" s="272" t="e">
        <f>IF(AND('1.基本データ(このシートは削除しないこと！)'!$H$17=4,AE67="県内"),U67*AH67,0)</f>
        <v>#N/A</v>
      </c>
      <c r="AP67" s="234" t="str">
        <f>IF(U67=1,MAX(AM67:AO67),"-")</f>
        <v>-</v>
      </c>
      <c r="AQ67" s="33"/>
      <c r="AR67" s="33"/>
    </row>
    <row r="68" spans="1:53" ht="28.2" customHeight="1" thickBot="1" x14ac:dyDescent="0.25">
      <c r="A68" s="20"/>
      <c r="B68" s="478"/>
      <c r="C68" s="436" t="s">
        <v>365</v>
      </c>
      <c r="D68" s="437"/>
      <c r="E68" s="244">
        <f>AF68</f>
        <v>1</v>
      </c>
      <c r="F68" s="279" t="str">
        <f>IF((U68=0),"-",AP68)</f>
        <v>-</v>
      </c>
      <c r="G68" s="446" t="s">
        <v>273</v>
      </c>
      <c r="H68" s="446"/>
      <c r="I68" s="446"/>
      <c r="J68" s="446"/>
      <c r="K68" s="446"/>
      <c r="L68" s="446"/>
      <c r="M68" s="446"/>
      <c r="N68" s="446"/>
      <c r="O68" s="446"/>
      <c r="P68" s="446"/>
      <c r="Q68" s="236" t="s">
        <v>297</v>
      </c>
      <c r="R68" s="229" t="s">
        <v>297</v>
      </c>
      <c r="S68" s="117"/>
      <c r="T68" s="117"/>
      <c r="U68" s="29">
        <f t="shared" si="7"/>
        <v>0</v>
      </c>
      <c r="V68" s="120"/>
      <c r="W68" s="29">
        <f t="shared" ref="W68:W76" si="9">IF(R68="-",0,1)</f>
        <v>0</v>
      </c>
      <c r="X68" s="132">
        <f>IF(OR(R68='1.基本データ(このシートは削除しないこと！)'!$D$19,'3.様式第6～8号(標準型)'!R68='1.基本データ(このシートは削除しないこと！)'!$E$19),1,0)</f>
        <v>1</v>
      </c>
      <c r="Y68" s="133" t="str">
        <f>VLOOKUP(R68,リスト2!$C$3:$E$65,2,FALSE)</f>
        <v>-</v>
      </c>
      <c r="Z68" s="134">
        <f>IF(OR(Y68='1.基本データ(このシートは削除しないこと！)'!$D$20,Y68='1.基本データ(このシートは削除しないこと！)'!$E$20),1,0)</f>
        <v>1</v>
      </c>
      <c r="AA68" s="133" t="str">
        <f>VLOOKUP(R68,リスト2!$C$3:$E$65,3,FALSE)</f>
        <v>-</v>
      </c>
      <c r="AB68" s="134">
        <f>IF(OR(AA68='1.基本データ(このシートは削除しないこと！)'!$D$21,AA68='1.基本データ(このシートは削除しないこと！)'!$E$21),1,0)</f>
        <v>1</v>
      </c>
      <c r="AC68" s="135">
        <f t="shared" si="8"/>
        <v>3</v>
      </c>
      <c r="AD68" s="135">
        <f>IF(AND('1.基本データ(このシートは削除しないこと！)'!$D$17="全国",AA68&lt;&gt;"-"),4,0)</f>
        <v>0</v>
      </c>
      <c r="AE68" s="271" t="str">
        <f>VLOOKUP(R68,リスト2!$C$3:$F$65,4,FALSE)</f>
        <v>-</v>
      </c>
      <c r="AF68" s="137">
        <v>1</v>
      </c>
      <c r="AG68" s="137">
        <v>1</v>
      </c>
      <c r="AH68" s="137">
        <v>0.5</v>
      </c>
      <c r="AJ68" s="138">
        <f>IF($U68*$W68*$AC68=3,AF68,0)</f>
        <v>0</v>
      </c>
      <c r="AK68" s="138">
        <f t="shared" ref="AK68:AK77" si="10">IF($U68*$W68*$AC68=2,AG68,0)</f>
        <v>0</v>
      </c>
      <c r="AL68" s="138">
        <f>IF(OR($U68*$W68*$AC68=1,$U68*$W68*AD68=4),AH68,0)</f>
        <v>0</v>
      </c>
      <c r="AM68" s="54" t="e">
        <f>IF('1.基本データ(このシートは削除しないこと！)'!$H$17=2,MAX(AJ68:AK68),0)</f>
        <v>#N/A</v>
      </c>
      <c r="AN68" s="54" t="e">
        <f>IF('1.基本データ(このシートは削除しないこと！)'!$H$17=3,MAX(AJ68:AL68),0)</f>
        <v>#N/A</v>
      </c>
      <c r="AO68" s="272" t="e">
        <f>IF(AND('1.基本データ(このシートは削除しないこと！)'!$H$17=4,AE68="県内"),U68*AF68,0)</f>
        <v>#N/A</v>
      </c>
      <c r="AP68" s="234" t="str">
        <f>IF(U68=1,MAX(AM68:AO68),"-")</f>
        <v>-</v>
      </c>
      <c r="AQ68" s="33"/>
      <c r="AR68" s="33"/>
    </row>
    <row r="69" spans="1:53" ht="61.2" customHeight="1" thickBot="1" x14ac:dyDescent="0.25">
      <c r="A69" s="20"/>
      <c r="B69" s="479"/>
      <c r="C69" s="475" t="s">
        <v>286</v>
      </c>
      <c r="D69" s="472" t="s">
        <v>230</v>
      </c>
      <c r="E69" s="465">
        <f>AG69</f>
        <v>3</v>
      </c>
      <c r="F69" s="490" t="e">
        <f>IF(OR(AR$66=0,SUM(U69:U71)=0),"-",AP69)</f>
        <v>#N/A</v>
      </c>
      <c r="G69" s="499" t="s">
        <v>335</v>
      </c>
      <c r="H69" s="500"/>
      <c r="I69" s="500"/>
      <c r="J69" s="500"/>
      <c r="K69" s="500"/>
      <c r="L69" s="500"/>
      <c r="M69" s="500"/>
      <c r="N69" s="500"/>
      <c r="O69" s="500"/>
      <c r="P69" s="501"/>
      <c r="Q69" s="236" t="s">
        <v>297</v>
      </c>
      <c r="R69" s="229" t="s">
        <v>297</v>
      </c>
      <c r="S69" s="139"/>
      <c r="T69" s="139"/>
      <c r="U69" s="140">
        <f t="shared" si="7"/>
        <v>0</v>
      </c>
      <c r="V69" s="505">
        <f>IF(SUM(U69:U71)&gt;0,1,0)</f>
        <v>0</v>
      </c>
      <c r="W69" s="29">
        <f t="shared" si="9"/>
        <v>0</v>
      </c>
      <c r="X69" s="141">
        <f>IF(OR(R69='1.基本データ(このシートは削除しないこと！)'!$D$19,'3.様式第6～8号(標準型)'!R69='1.基本データ(このシートは削除しないこと！)'!$E$19),1,0)</f>
        <v>1</v>
      </c>
      <c r="Y69" s="142" t="str">
        <f>VLOOKUP(R69,リスト2!$C$3:$E$65,2,FALSE)</f>
        <v>-</v>
      </c>
      <c r="Z69" s="143">
        <f>IF(OR(Y69='1.基本データ(このシートは削除しないこと！)'!$D$20,Y69='1.基本データ(このシートは削除しないこと！)'!$E$20),1,0)</f>
        <v>1</v>
      </c>
      <c r="AA69" s="142" t="str">
        <f>VLOOKUP(R69,リスト2!$C$3:$E$65,3,FALSE)</f>
        <v>-</v>
      </c>
      <c r="AB69" s="143">
        <f>IF(OR(AA69='1.基本データ(このシートは削除しないこと！)'!$D$21,AA69='1.基本データ(このシートは削除しないこと！)'!$E$21),1,0)</f>
        <v>1</v>
      </c>
      <c r="AC69" s="144">
        <f>IF(X69+Z69+AB69=3,2,X69+Z69+AB69)</f>
        <v>2</v>
      </c>
      <c r="AD69" s="135">
        <f>IF(AND('1.基本データ(このシートは削除しないこと！)'!$D$17="全国",AA69&lt;&gt;"-"),4,0)</f>
        <v>0</v>
      </c>
      <c r="AE69" s="271" t="str">
        <f>VLOOKUP(R69,リスト2!$C$3:$F$65,4,FALSE)</f>
        <v>-</v>
      </c>
      <c r="AF69" s="145"/>
      <c r="AG69" s="146">
        <v>3</v>
      </c>
      <c r="AH69" s="146">
        <v>3</v>
      </c>
      <c r="AJ69" s="147"/>
      <c r="AK69" s="148">
        <f t="shared" si="10"/>
        <v>0</v>
      </c>
      <c r="AL69" s="148">
        <f t="shared" ref="AL69:AL77" si="11">IF(OR($U69*$W69*$AC69=1,$U69*$W69*AD69=4),AH69,0)</f>
        <v>0</v>
      </c>
      <c r="AM69" s="273" t="e">
        <f>IF('1.基本データ(このシートは削除しないこと！)'!$H$17=2,MAX(AJ69:AK69),0)</f>
        <v>#N/A</v>
      </c>
      <c r="AN69" s="273" t="e">
        <f>IF('1.基本データ(このシートは削除しないこと！)'!$H$17=3,MAX(AJ69:AL69),0)</f>
        <v>#N/A</v>
      </c>
      <c r="AO69" s="274" t="e">
        <f>IF(AND('1.基本データ(このシートは削除しないこと！)'!$H$17=4,AE69="県内"),U69*AH69,0)</f>
        <v>#N/A</v>
      </c>
      <c r="AP69" s="493" t="e">
        <f>IF(V69&lt;=2,MAX(AM69:AO71),"-")</f>
        <v>#N/A</v>
      </c>
      <c r="AR69" s="33"/>
    </row>
    <row r="70" spans="1:53" ht="30" customHeight="1" thickBot="1" x14ac:dyDescent="0.25">
      <c r="A70" s="20"/>
      <c r="B70" s="479"/>
      <c r="C70" s="476"/>
      <c r="D70" s="473"/>
      <c r="E70" s="466"/>
      <c r="F70" s="392"/>
      <c r="G70" s="484" t="s">
        <v>285</v>
      </c>
      <c r="H70" s="488"/>
      <c r="I70" s="488"/>
      <c r="J70" s="488"/>
      <c r="K70" s="488"/>
      <c r="L70" s="488"/>
      <c r="M70" s="488"/>
      <c r="N70" s="488"/>
      <c r="O70" s="488"/>
      <c r="P70" s="489"/>
      <c r="Q70" s="236" t="s">
        <v>297</v>
      </c>
      <c r="R70" s="229" t="s">
        <v>297</v>
      </c>
      <c r="S70" s="139"/>
      <c r="T70" s="139"/>
      <c r="U70" s="140">
        <f t="shared" ref="U70:U71" si="12">IF(Q70="有",1,0)</f>
        <v>0</v>
      </c>
      <c r="V70" s="519"/>
      <c r="W70" s="29">
        <f t="shared" ref="W70:W71" si="13">IF(R70="-",0,1)</f>
        <v>0</v>
      </c>
      <c r="X70" s="141">
        <f>IF(OR(R70='1.基本データ(このシートは削除しないこと！)'!$D$19,'3.様式第6～8号(標準型)'!R70='1.基本データ(このシートは削除しないこと！)'!$E$19),1,0)</f>
        <v>1</v>
      </c>
      <c r="Y70" s="142" t="str">
        <f>VLOOKUP(R70,リスト2!$C$3:$E$65,2,FALSE)</f>
        <v>-</v>
      </c>
      <c r="Z70" s="143">
        <f>IF(OR(Y70='1.基本データ(このシートは削除しないこと！)'!$D$20,Y70='1.基本データ(このシートは削除しないこと！)'!$E$20),1,0)</f>
        <v>1</v>
      </c>
      <c r="AA70" s="142" t="str">
        <f>VLOOKUP(R70,リスト2!$C$3:$E$65,3,FALSE)</f>
        <v>-</v>
      </c>
      <c r="AB70" s="143">
        <f>IF(OR(AA70='1.基本データ(このシートは削除しないこと！)'!$D$21,AA70='1.基本データ(このシートは削除しないこと！)'!$E$21),1,0)</f>
        <v>1</v>
      </c>
      <c r="AC70" s="144">
        <f>IF(X70+Z70+AB70=3,2,X70+Z70+AB70)</f>
        <v>2</v>
      </c>
      <c r="AD70" s="135">
        <f>IF(AND('1.基本データ(このシートは削除しないこと！)'!$D$17="全国",AA70&lt;&gt;"-"),4,0)</f>
        <v>0</v>
      </c>
      <c r="AE70" s="271" t="str">
        <f>VLOOKUP(R70,リスト2!$C$3:$F$65,4,FALSE)</f>
        <v>-</v>
      </c>
      <c r="AF70" s="145"/>
      <c r="AG70" s="146">
        <v>2.5</v>
      </c>
      <c r="AH70" s="146">
        <v>2.5</v>
      </c>
      <c r="AJ70" s="147"/>
      <c r="AK70" s="148">
        <f t="shared" ref="AK70:AK71" si="14">IF($U70*$W70*$AC70=2,AG70,0)</f>
        <v>0</v>
      </c>
      <c r="AL70" s="148">
        <f t="shared" ref="AL70:AL71" si="15">IF(OR($U70*$W70*$AC70=1,$U70*$W70*AD70=4),AH70,0)</f>
        <v>0</v>
      </c>
      <c r="AM70" s="275" t="e">
        <f>IF('1.基本データ(このシートは削除しないこと！)'!$H$17=2,MAX(AJ70:AK70),0)</f>
        <v>#N/A</v>
      </c>
      <c r="AN70" s="275" t="e">
        <f>IF('1.基本データ(このシートは削除しないこと！)'!$H$17=3,MAX(AJ70:AL70),0)</f>
        <v>#N/A</v>
      </c>
      <c r="AO70" s="276" t="e">
        <f>IF(AND('1.基本データ(このシートは削除しないこと！)'!$H$17=4,AE70="県内"),U70*AH70,0)</f>
        <v>#N/A</v>
      </c>
      <c r="AP70" s="494"/>
      <c r="AR70" s="33"/>
    </row>
    <row r="71" spans="1:53" ht="44.4" customHeight="1" thickBot="1" x14ac:dyDescent="0.25">
      <c r="A71" s="20"/>
      <c r="B71" s="479"/>
      <c r="C71" s="476"/>
      <c r="D71" s="474"/>
      <c r="E71" s="467"/>
      <c r="F71" s="393"/>
      <c r="G71" s="484" t="s">
        <v>336</v>
      </c>
      <c r="H71" s="488"/>
      <c r="I71" s="488"/>
      <c r="J71" s="488"/>
      <c r="K71" s="488"/>
      <c r="L71" s="488"/>
      <c r="M71" s="488"/>
      <c r="N71" s="488"/>
      <c r="O71" s="488"/>
      <c r="P71" s="489"/>
      <c r="Q71" s="236" t="s">
        <v>297</v>
      </c>
      <c r="R71" s="229" t="s">
        <v>297</v>
      </c>
      <c r="S71" s="139"/>
      <c r="T71" s="139"/>
      <c r="U71" s="140">
        <f t="shared" si="12"/>
        <v>0</v>
      </c>
      <c r="V71" s="506"/>
      <c r="W71" s="29">
        <f t="shared" si="13"/>
        <v>0</v>
      </c>
      <c r="X71" s="141">
        <f>IF(OR(R71='1.基本データ(このシートは削除しないこと！)'!$D$19,'3.様式第6～8号(標準型)'!R71='1.基本データ(このシートは削除しないこと！)'!$E$19),1,0)</f>
        <v>1</v>
      </c>
      <c r="Y71" s="142" t="str">
        <f>VLOOKUP(R71,リスト2!$C$3:$E$65,2,FALSE)</f>
        <v>-</v>
      </c>
      <c r="Z71" s="143">
        <f>IF(OR(Y71='1.基本データ(このシートは削除しないこと！)'!$D$20,Y71='1.基本データ(このシートは削除しないこと！)'!$E$20),1,0)</f>
        <v>1</v>
      </c>
      <c r="AA71" s="142" t="str">
        <f>VLOOKUP(R71,リスト2!$C$3:$E$65,3,FALSE)</f>
        <v>-</v>
      </c>
      <c r="AB71" s="143">
        <f>IF(OR(AA71='1.基本データ(このシートは削除しないこと！)'!$D$21,AA71='1.基本データ(このシートは削除しないこと！)'!$E$21),1,0)</f>
        <v>1</v>
      </c>
      <c r="AC71" s="144">
        <f>IF(X71+Z71+AB71=3,2,X71+Z71+AB71)</f>
        <v>2</v>
      </c>
      <c r="AD71" s="135">
        <f>IF(AND('1.基本データ(このシートは削除しないこと！)'!$D$17="全国",AA71&lt;&gt;"-"),4,0)</f>
        <v>0</v>
      </c>
      <c r="AE71" s="271" t="str">
        <f>VLOOKUP(R71,リスト2!$C$3:$F$65,4,FALSE)</f>
        <v>-</v>
      </c>
      <c r="AF71" s="145"/>
      <c r="AG71" s="146">
        <v>1.5</v>
      </c>
      <c r="AH71" s="146">
        <v>1.5</v>
      </c>
      <c r="AJ71" s="147"/>
      <c r="AK71" s="148">
        <f t="shared" si="14"/>
        <v>0</v>
      </c>
      <c r="AL71" s="148">
        <f t="shared" si="15"/>
        <v>0</v>
      </c>
      <c r="AM71" s="277" t="e">
        <f>IF('1.基本データ(このシートは削除しないこと！)'!$H$17=2,MAX(AJ71:AK71),0)</f>
        <v>#N/A</v>
      </c>
      <c r="AN71" s="277" t="e">
        <f>IF('1.基本データ(このシートは削除しないこと！)'!$H$17=3,MAX(AJ71:AL71),0)</f>
        <v>#N/A</v>
      </c>
      <c r="AO71" s="278" t="e">
        <f>IF(AND('1.基本データ(このシートは削除しないこと！)'!$H$17=4,AE71="県内"),U71*AH71,0)</f>
        <v>#N/A</v>
      </c>
      <c r="AP71" s="495"/>
      <c r="AR71" s="33"/>
    </row>
    <row r="72" spans="1:53" ht="81" customHeight="1" thickBot="1" x14ac:dyDescent="0.25">
      <c r="A72" s="20"/>
      <c r="B72" s="479"/>
      <c r="C72" s="476"/>
      <c r="D72" s="446" t="s">
        <v>366</v>
      </c>
      <c r="E72" s="450">
        <f>AF72</f>
        <v>2.5</v>
      </c>
      <c r="F72" s="391" t="e">
        <f>IF(OR(AR$66=0,U72+U73=0),"-",AP72)</f>
        <v>#N/A</v>
      </c>
      <c r="G72" s="481" t="s">
        <v>339</v>
      </c>
      <c r="H72" s="385"/>
      <c r="I72" s="385"/>
      <c r="J72" s="385"/>
      <c r="K72" s="385"/>
      <c r="L72" s="385"/>
      <c r="M72" s="385"/>
      <c r="N72" s="385"/>
      <c r="O72" s="385"/>
      <c r="P72" s="482"/>
      <c r="Q72" s="236" t="s">
        <v>297</v>
      </c>
      <c r="R72" s="229" t="s">
        <v>297</v>
      </c>
      <c r="S72" s="149"/>
      <c r="T72" s="149"/>
      <c r="U72" s="140">
        <f t="shared" si="7"/>
        <v>0</v>
      </c>
      <c r="V72" s="505">
        <f>IF(SUM(U72:U73)&gt;0,1,0)+V69</f>
        <v>0</v>
      </c>
      <c r="W72" s="140">
        <f t="shared" si="9"/>
        <v>0</v>
      </c>
      <c r="X72" s="141">
        <f>IF(OR(R72='1.基本データ(このシートは削除しないこと！)'!$D$19,'3.様式第6～8号(標準型)'!R72='1.基本データ(このシートは削除しないこと！)'!$E$19),1,0)</f>
        <v>1</v>
      </c>
      <c r="Y72" s="142" t="str">
        <f>VLOOKUP(R72,リスト2!$C$3:$E$65,2,FALSE)</f>
        <v>-</v>
      </c>
      <c r="Z72" s="143">
        <f>IF(OR(Y72='1.基本データ(このシートは削除しないこと！)'!$D$20,Y72='1.基本データ(このシートは削除しないこと！)'!$E$20),1,0)</f>
        <v>1</v>
      </c>
      <c r="AA72" s="142" t="str">
        <f>VLOOKUP(R72,リスト2!$C$3:$E$65,3,FALSE)</f>
        <v>-</v>
      </c>
      <c r="AB72" s="143">
        <f>IF(OR(AA72='1.基本データ(このシートは削除しないこと！)'!$D$21,AA72='1.基本データ(このシートは削除しないこと！)'!$E$21),1,0)</f>
        <v>1</v>
      </c>
      <c r="AC72" s="150">
        <f>X72+Z72+AB72</f>
        <v>3</v>
      </c>
      <c r="AD72" s="151">
        <f>IF(AND('1.基本データ(このシートは削除しないこと！)'!$D$17="全国",AA72&lt;&gt;"-"),4,0)</f>
        <v>0</v>
      </c>
      <c r="AE72" s="271" t="str">
        <f>VLOOKUP(R72,リスト2!$C$3:$F$65,4,FALSE)</f>
        <v>-</v>
      </c>
      <c r="AF72" s="152">
        <v>2.5</v>
      </c>
      <c r="AG72" s="152">
        <v>2.5</v>
      </c>
      <c r="AH72" s="152">
        <v>2.5</v>
      </c>
      <c r="AJ72" s="148">
        <f>IF($U72*$W72*$AC72=3,AF72,0)</f>
        <v>0</v>
      </c>
      <c r="AK72" s="148">
        <f t="shared" si="10"/>
        <v>0</v>
      </c>
      <c r="AL72" s="148">
        <f>IF(OR($U72*$W72*$AC72=1,$U72*$W72*AD72=4),AH72,0)</f>
        <v>0</v>
      </c>
      <c r="AM72" s="273" t="e">
        <f>IF('1.基本データ(このシートは削除しないこと！)'!$H$17=2,MAX(AJ72:AK72),0)</f>
        <v>#N/A</v>
      </c>
      <c r="AN72" s="273" t="e">
        <f>IF('1.基本データ(このシートは削除しないこと！)'!$H$17=3,MAX(AJ72:AL72),0)</f>
        <v>#N/A</v>
      </c>
      <c r="AO72" s="274" t="e">
        <f>IF(AND('1.基本データ(このシートは削除しないこと！)'!$H$17=4,AE72="県内"),U72*AH72,0)</f>
        <v>#N/A</v>
      </c>
      <c r="AP72" s="493" t="e">
        <f>IF(V72&lt;=2,MAX(AM72:AO73),"-")</f>
        <v>#N/A</v>
      </c>
    </row>
    <row r="73" spans="1:53" ht="39.6" customHeight="1" thickBot="1" x14ac:dyDescent="0.25">
      <c r="A73" s="20"/>
      <c r="B73" s="479"/>
      <c r="C73" s="476"/>
      <c r="D73" s="447"/>
      <c r="E73" s="451"/>
      <c r="F73" s="393"/>
      <c r="G73" s="481" t="s">
        <v>334</v>
      </c>
      <c r="H73" s="385"/>
      <c r="I73" s="385"/>
      <c r="J73" s="385"/>
      <c r="K73" s="385"/>
      <c r="L73" s="385"/>
      <c r="M73" s="385"/>
      <c r="N73" s="385"/>
      <c r="O73" s="385"/>
      <c r="P73" s="482"/>
      <c r="Q73" s="236" t="s">
        <v>297</v>
      </c>
      <c r="R73" s="229" t="s">
        <v>297</v>
      </c>
      <c r="S73" s="139"/>
      <c r="T73" s="139"/>
      <c r="U73" s="88">
        <f t="shared" si="7"/>
        <v>0</v>
      </c>
      <c r="V73" s="506"/>
      <c r="W73" s="88">
        <f t="shared" si="9"/>
        <v>0</v>
      </c>
      <c r="X73" s="153">
        <f>IF(OR(R73='1.基本データ(このシートは削除しないこと！)'!$D$19,'3.様式第6～8号(標準型)'!R73='1.基本データ(このシートは削除しないこと！)'!$E$19),1,0)</f>
        <v>1</v>
      </c>
      <c r="Y73" s="133" t="str">
        <f>VLOOKUP(R73,リスト2!$C$3:$E$65,2,FALSE)</f>
        <v>-</v>
      </c>
      <c r="Z73" s="134">
        <f>IF(OR(Y73='1.基本データ(このシートは削除しないこと！)'!$D$20,Y73='1.基本データ(このシートは削除しないこと！)'!$E$20),1,0)</f>
        <v>1</v>
      </c>
      <c r="AA73" s="133" t="str">
        <f>VLOOKUP(R73,リスト2!$C$3:$E$65,3,FALSE)</f>
        <v>-</v>
      </c>
      <c r="AB73" s="134">
        <f>IF(OR(AA73='1.基本データ(このシートは削除しないこと！)'!$D$21,AA73='1.基本データ(このシートは削除しないこと！)'!$E$21),1,0)</f>
        <v>1</v>
      </c>
      <c r="AC73" s="135">
        <f t="shared" si="8"/>
        <v>3</v>
      </c>
      <c r="AD73" s="154">
        <f>IF(AND('1.基本データ(このシートは削除しないこと！)'!$D$17="全国",AA73&lt;&gt;"-"),4,0)</f>
        <v>0</v>
      </c>
      <c r="AE73" s="271" t="str">
        <f>VLOOKUP(R73,リスト2!$C$3:$F$65,4,FALSE)</f>
        <v>-</v>
      </c>
      <c r="AF73" s="155">
        <v>1.5</v>
      </c>
      <c r="AG73" s="155">
        <v>1.5</v>
      </c>
      <c r="AH73" s="155">
        <v>1.5</v>
      </c>
      <c r="AJ73" s="156">
        <f t="shared" ref="AJ73:AJ77" si="16">IF($U73*$W73*$AC73=3,AF73,0)</f>
        <v>0</v>
      </c>
      <c r="AK73" s="156">
        <f t="shared" si="10"/>
        <v>0</v>
      </c>
      <c r="AL73" s="156">
        <f t="shared" si="11"/>
        <v>0</v>
      </c>
      <c r="AM73" s="277" t="e">
        <f>IF('1.基本データ(このシートは削除しないこと！)'!$H$17=2,MAX(AJ73:AK73),0)</f>
        <v>#N/A</v>
      </c>
      <c r="AN73" s="277" t="e">
        <f>IF('1.基本データ(このシートは削除しないこと！)'!$H$17=3,MAX(AJ73:AL73),0)</f>
        <v>#N/A</v>
      </c>
      <c r="AO73" s="278" t="e">
        <f>IF(AND('1.基本データ(このシートは削除しないこと！)'!$H$17=4,AE73="県内"),U73*AH73,0)</f>
        <v>#N/A</v>
      </c>
      <c r="AP73" s="495"/>
    </row>
    <row r="74" spans="1:53" ht="30" customHeight="1" thickBot="1" x14ac:dyDescent="0.25">
      <c r="A74" s="20"/>
      <c r="B74" s="479"/>
      <c r="C74" s="476"/>
      <c r="D74" s="446" t="s">
        <v>367</v>
      </c>
      <c r="E74" s="450">
        <f>AF74</f>
        <v>2.5</v>
      </c>
      <c r="F74" s="391" t="e">
        <f>IF(OR(AR$66=0,U74+U75=0),"-",AP74)</f>
        <v>#N/A</v>
      </c>
      <c r="G74" s="481" t="s">
        <v>271</v>
      </c>
      <c r="H74" s="385"/>
      <c r="I74" s="385"/>
      <c r="J74" s="385"/>
      <c r="K74" s="385"/>
      <c r="L74" s="385"/>
      <c r="M74" s="385"/>
      <c r="N74" s="385"/>
      <c r="O74" s="385"/>
      <c r="P74" s="482"/>
      <c r="Q74" s="236" t="s">
        <v>297</v>
      </c>
      <c r="R74" s="229" t="s">
        <v>297</v>
      </c>
      <c r="S74" s="139"/>
      <c r="T74" s="139"/>
      <c r="U74" s="140">
        <f t="shared" si="7"/>
        <v>0</v>
      </c>
      <c r="V74" s="505">
        <f>IF(SUM(U74:U75)&gt;0,1,0)+V72</f>
        <v>0</v>
      </c>
      <c r="W74" s="140">
        <f t="shared" si="9"/>
        <v>0</v>
      </c>
      <c r="X74" s="141">
        <f>IF(OR(R74='1.基本データ(このシートは削除しないこと！)'!$D$19,'3.様式第6～8号(標準型)'!R74='1.基本データ(このシートは削除しないこと！)'!$E$19),1,0)</f>
        <v>1</v>
      </c>
      <c r="Y74" s="142" t="str">
        <f>VLOOKUP(R74,リスト2!$C$3:$E$65,2,FALSE)</f>
        <v>-</v>
      </c>
      <c r="Z74" s="143">
        <f>IF(OR(Y74='1.基本データ(このシートは削除しないこと！)'!$D$20,Y74='1.基本データ(このシートは削除しないこと！)'!$E$20),1,0)</f>
        <v>1</v>
      </c>
      <c r="AA74" s="142" t="str">
        <f>VLOOKUP(R74,リスト2!$C$3:$E$65,3,FALSE)</f>
        <v>-</v>
      </c>
      <c r="AB74" s="143">
        <f>IF(OR(AA74='1.基本データ(このシートは削除しないこと！)'!$D$21,AA74='1.基本データ(このシートは削除しないこと！)'!$E$21),1,0)</f>
        <v>1</v>
      </c>
      <c r="AC74" s="150">
        <f t="shared" ref="AC74:AC76" si="17">X74+Z74+AB74</f>
        <v>3</v>
      </c>
      <c r="AD74" s="151">
        <f>IF(AND('1.基本データ(このシートは削除しないこと！)'!$D$17="全国",AA74&lt;&gt;"-"),4,0)</f>
        <v>0</v>
      </c>
      <c r="AE74" s="271" t="str">
        <f>VLOOKUP(R74,リスト2!$C$3:$F$65,4,FALSE)</f>
        <v>-</v>
      </c>
      <c r="AF74" s="152">
        <v>2.5</v>
      </c>
      <c r="AG74" s="152">
        <v>2.5</v>
      </c>
      <c r="AH74" s="152">
        <v>2.5</v>
      </c>
      <c r="AJ74" s="148">
        <f t="shared" si="16"/>
        <v>0</v>
      </c>
      <c r="AK74" s="148">
        <f t="shared" si="10"/>
        <v>0</v>
      </c>
      <c r="AL74" s="148">
        <f t="shared" si="11"/>
        <v>0</v>
      </c>
      <c r="AM74" s="54" t="e">
        <f>IF('1.基本データ(このシートは削除しないこと！)'!$H$17=2,MAX(AJ74:AK74),0)</f>
        <v>#N/A</v>
      </c>
      <c r="AN74" s="54" t="e">
        <f>IF('1.基本データ(このシートは削除しないこと！)'!$H$17=3,MAX(AJ74:AL74),0)</f>
        <v>#N/A</v>
      </c>
      <c r="AO74" s="272" t="e">
        <f>IF(AND('1.基本データ(このシートは削除しないこと！)'!$H$17=4,AE74="県内"),U74*AH74,0)</f>
        <v>#N/A</v>
      </c>
      <c r="AP74" s="493" t="e">
        <f>IF(V74&lt;=2,MAX(AM74:AO75),"-")</f>
        <v>#N/A</v>
      </c>
    </row>
    <row r="75" spans="1:53" ht="30" customHeight="1" thickBot="1" x14ac:dyDescent="0.25">
      <c r="A75" s="20"/>
      <c r="B75" s="479"/>
      <c r="C75" s="476"/>
      <c r="D75" s="447"/>
      <c r="E75" s="451"/>
      <c r="F75" s="393"/>
      <c r="G75" s="481" t="s">
        <v>251</v>
      </c>
      <c r="H75" s="385"/>
      <c r="I75" s="385"/>
      <c r="J75" s="385"/>
      <c r="K75" s="385"/>
      <c r="L75" s="385"/>
      <c r="M75" s="385"/>
      <c r="N75" s="385"/>
      <c r="O75" s="385"/>
      <c r="P75" s="482"/>
      <c r="Q75" s="236" t="s">
        <v>297</v>
      </c>
      <c r="R75" s="229" t="s">
        <v>297</v>
      </c>
      <c r="S75" s="157"/>
      <c r="T75" s="157"/>
      <c r="U75" s="88">
        <f t="shared" si="7"/>
        <v>0</v>
      </c>
      <c r="V75" s="506"/>
      <c r="W75" s="88">
        <f t="shared" si="9"/>
        <v>0</v>
      </c>
      <c r="X75" s="153">
        <f>IF(OR(R75='1.基本データ(このシートは削除しないこと！)'!$D$19,'3.様式第6～8号(標準型)'!R75='1.基本データ(このシートは削除しないこと！)'!$E$19),1,0)</f>
        <v>1</v>
      </c>
      <c r="Y75" s="133" t="str">
        <f>VLOOKUP(R75,リスト2!$C$3:$E$65,2,FALSE)</f>
        <v>-</v>
      </c>
      <c r="Z75" s="134">
        <f>IF(OR(Y75='1.基本データ(このシートは削除しないこと！)'!$D$20,Y75='1.基本データ(このシートは削除しないこと！)'!$E$20),1,0)</f>
        <v>1</v>
      </c>
      <c r="AA75" s="133" t="str">
        <f>VLOOKUP(R75,リスト2!$C$3:$E$65,3,FALSE)</f>
        <v>-</v>
      </c>
      <c r="AB75" s="134">
        <f>IF(OR(AA75='1.基本データ(このシートは削除しないこと！)'!$D$21,AA75='1.基本データ(このシートは削除しないこと！)'!$E$21),1,0)</f>
        <v>1</v>
      </c>
      <c r="AC75" s="135">
        <f t="shared" si="17"/>
        <v>3</v>
      </c>
      <c r="AD75" s="154">
        <f>IF(AND('1.基本データ(このシートは削除しないこと！)'!$D$17="全国",AA75&lt;&gt;"-"),4,0)</f>
        <v>0</v>
      </c>
      <c r="AE75" s="271" t="str">
        <f>VLOOKUP(R75,リスト2!$C$3:$F$65,4,FALSE)</f>
        <v>-</v>
      </c>
      <c r="AF75" s="155">
        <v>1.5</v>
      </c>
      <c r="AG75" s="155">
        <v>1.5</v>
      </c>
      <c r="AH75" s="155">
        <v>1.5</v>
      </c>
      <c r="AJ75" s="156">
        <f t="shared" si="16"/>
        <v>0</v>
      </c>
      <c r="AK75" s="156">
        <f t="shared" si="10"/>
        <v>0</v>
      </c>
      <c r="AL75" s="156">
        <f t="shared" si="11"/>
        <v>0</v>
      </c>
      <c r="AM75" s="54" t="e">
        <f>IF('1.基本データ(このシートは削除しないこと！)'!$H$17=2,MAX(AJ75:AK75),0)</f>
        <v>#N/A</v>
      </c>
      <c r="AN75" s="54" t="e">
        <f>IF('1.基本データ(このシートは削除しないこと！)'!$H$17=3,MAX(AJ75:AL75),0)</f>
        <v>#N/A</v>
      </c>
      <c r="AO75" s="272" t="e">
        <f>IF(AND('1.基本データ(このシートは削除しないこと！)'!$H$17=4,AE75="県内"),U75*AH75,0)</f>
        <v>#N/A</v>
      </c>
      <c r="AP75" s="495"/>
    </row>
    <row r="76" spans="1:53" ht="51.6" customHeight="1" thickBot="1" x14ac:dyDescent="0.25">
      <c r="A76" s="20"/>
      <c r="B76" s="479"/>
      <c r="C76" s="476"/>
      <c r="D76" s="448" t="s">
        <v>368</v>
      </c>
      <c r="E76" s="450">
        <f>AF76</f>
        <v>3</v>
      </c>
      <c r="F76" s="411" t="e">
        <f>IF(OR('1.基本データ(このシートは削除しないこと！)'!H16=10,AR$66=0,U76+U77=0),"-",AP76)</f>
        <v>#N/A</v>
      </c>
      <c r="G76" s="483" t="s">
        <v>337</v>
      </c>
      <c r="H76" s="484"/>
      <c r="I76" s="484"/>
      <c r="J76" s="484"/>
      <c r="K76" s="484"/>
      <c r="L76" s="484"/>
      <c r="M76" s="484"/>
      <c r="N76" s="484"/>
      <c r="O76" s="484"/>
      <c r="P76" s="485"/>
      <c r="Q76" s="236" t="s">
        <v>297</v>
      </c>
      <c r="R76" s="503" t="s">
        <v>297</v>
      </c>
      <c r="S76" s="139"/>
      <c r="T76" s="139"/>
      <c r="U76" s="57">
        <f t="shared" si="7"/>
        <v>0</v>
      </c>
      <c r="V76" s="505">
        <f>IF(SUM(U76:U77)&gt;0,1,0)+V74</f>
        <v>0</v>
      </c>
      <c r="W76" s="158">
        <f t="shared" si="9"/>
        <v>0</v>
      </c>
      <c r="X76" s="159">
        <f>IF(OR(R76='1.基本データ(このシートは削除しないこと！)'!$D$19,'3.様式第6～8号(標準型)'!R76='1.基本データ(このシートは削除しないこと！)'!$E$19),1,0)</f>
        <v>1</v>
      </c>
      <c r="Y76" s="160" t="str">
        <f>VLOOKUP(R76,リスト2!$C$3:$E$65,2,FALSE)</f>
        <v>-</v>
      </c>
      <c r="Z76" s="161">
        <f>IF(OR(Y76='1.基本データ(このシートは削除しないこと！)'!$D$20,Y76='1.基本データ(このシートは削除しないこと！)'!$E$20),1,0)</f>
        <v>1</v>
      </c>
      <c r="AA76" s="160" t="str">
        <f>VLOOKUP(R76,リスト2!$C$3:$E$65,3,FALSE)</f>
        <v>-</v>
      </c>
      <c r="AB76" s="161">
        <f>IF(OR(AA76='1.基本データ(このシートは削除しないこと！)'!$D$21,AA76='1.基本データ(このシートは削除しないこと！)'!$E$21),1,0)</f>
        <v>1</v>
      </c>
      <c r="AC76" s="136">
        <f t="shared" si="17"/>
        <v>3</v>
      </c>
      <c r="AD76" s="136">
        <f>IF(AND('1.基本データ(このシートは削除しないこと！)'!$D$17="全国",AA76&lt;&gt;"-"),4,0)</f>
        <v>0</v>
      </c>
      <c r="AE76" s="271" t="str">
        <f>VLOOKUP(R76,リスト2!$C$3:$F$65,4,FALSE)</f>
        <v>-</v>
      </c>
      <c r="AF76" s="152">
        <v>3</v>
      </c>
      <c r="AG76" s="152">
        <v>3</v>
      </c>
      <c r="AH76" s="152">
        <v>3</v>
      </c>
      <c r="AJ76" s="162">
        <f>IF($U76*$W76*$AC76=3,AF76,0)</f>
        <v>0</v>
      </c>
      <c r="AK76" s="163">
        <f t="shared" si="10"/>
        <v>0</v>
      </c>
      <c r="AL76" s="163">
        <f t="shared" si="11"/>
        <v>0</v>
      </c>
      <c r="AM76" s="273" t="e">
        <f>IF('1.基本データ(このシートは削除しないこと！)'!$H$17=2,MAX(AJ76:AK76),0)</f>
        <v>#N/A</v>
      </c>
      <c r="AN76" s="273" t="e">
        <f>IF('1.基本データ(このシートは削除しないこと！)'!$H$17=3,MAX(AJ76:AL76),0)</f>
        <v>#N/A</v>
      </c>
      <c r="AO76" s="274" t="e">
        <f>IF(AND('1.基本データ(このシートは削除しないこと！)'!$H$17=4,AE76="県内"),U76*AH76,0)</f>
        <v>#N/A</v>
      </c>
      <c r="AP76" s="493" t="e">
        <f>IF(V76&lt;=2,MAX(AM76:AO77),"-")</f>
        <v>#N/A</v>
      </c>
    </row>
    <row r="77" spans="1:53" ht="39" customHeight="1" thickBot="1" x14ac:dyDescent="0.25">
      <c r="A77" s="20"/>
      <c r="B77" s="479"/>
      <c r="C77" s="477"/>
      <c r="D77" s="449"/>
      <c r="E77" s="452"/>
      <c r="F77" s="445"/>
      <c r="G77" s="496" t="s">
        <v>338</v>
      </c>
      <c r="H77" s="497"/>
      <c r="I77" s="497"/>
      <c r="J77" s="497"/>
      <c r="K77" s="497"/>
      <c r="L77" s="497"/>
      <c r="M77" s="497"/>
      <c r="N77" s="497"/>
      <c r="O77" s="497"/>
      <c r="P77" s="498"/>
      <c r="Q77" s="236" t="s">
        <v>297</v>
      </c>
      <c r="R77" s="504"/>
      <c r="S77" s="139"/>
      <c r="T77" s="139"/>
      <c r="U77" s="88">
        <f t="shared" si="7"/>
        <v>0</v>
      </c>
      <c r="V77" s="506"/>
      <c r="W77" s="164">
        <f t="shared" ref="W77:AD77" si="18">W76</f>
        <v>0</v>
      </c>
      <c r="X77" s="153">
        <f t="shared" si="18"/>
        <v>1</v>
      </c>
      <c r="Y77" s="133" t="str">
        <f t="shared" si="18"/>
        <v>-</v>
      </c>
      <c r="Z77" s="134">
        <f t="shared" si="18"/>
        <v>1</v>
      </c>
      <c r="AA77" s="133" t="str">
        <f t="shared" si="18"/>
        <v>-</v>
      </c>
      <c r="AB77" s="134">
        <f t="shared" si="18"/>
        <v>1</v>
      </c>
      <c r="AC77" s="135">
        <f t="shared" si="18"/>
        <v>3</v>
      </c>
      <c r="AD77" s="135">
        <f t="shared" si="18"/>
        <v>0</v>
      </c>
      <c r="AE77" s="271" t="str">
        <f>AE76</f>
        <v>-</v>
      </c>
      <c r="AF77" s="165">
        <v>1.5</v>
      </c>
      <c r="AG77" s="165">
        <v>1.5</v>
      </c>
      <c r="AH77" s="165">
        <v>1.5</v>
      </c>
      <c r="AJ77" s="156">
        <f t="shared" si="16"/>
        <v>0</v>
      </c>
      <c r="AK77" s="166">
        <f t="shared" si="10"/>
        <v>0</v>
      </c>
      <c r="AL77" s="166">
        <f t="shared" si="11"/>
        <v>0</v>
      </c>
      <c r="AM77" s="277" t="e">
        <f>IF('1.基本データ(このシートは削除しないこと！)'!$H$17=2,MAX(AJ77:AK77),0)</f>
        <v>#N/A</v>
      </c>
      <c r="AN77" s="277" t="e">
        <f>IF('1.基本データ(このシートは削除しないこと！)'!$H$17=3,MAX(AJ77:AL77),0)</f>
        <v>#N/A</v>
      </c>
      <c r="AO77" s="278" t="e">
        <f>IF(AND('1.基本データ(このシートは削除しないこと！)'!$H$17=4,AE77="県内"),U77*AH77,0)</f>
        <v>#N/A</v>
      </c>
      <c r="AP77" s="502"/>
    </row>
    <row r="78" spans="1:53" ht="9.9" customHeight="1" x14ac:dyDescent="0.2">
      <c r="A78" s="20"/>
      <c r="B78" s="421" t="s">
        <v>1</v>
      </c>
      <c r="C78" s="421"/>
      <c r="D78" s="421"/>
      <c r="E78" s="421"/>
      <c r="F78" s="421"/>
      <c r="G78" s="421"/>
      <c r="H78" s="421"/>
      <c r="I78" s="421"/>
      <c r="J78" s="421"/>
      <c r="K78" s="421"/>
      <c r="L78" s="421"/>
      <c r="M78" s="421"/>
      <c r="N78" s="421"/>
      <c r="O78" s="421"/>
      <c r="P78" s="421"/>
      <c r="Q78" s="421"/>
      <c r="R78" s="421"/>
    </row>
    <row r="79" spans="1:53" ht="9.9" customHeight="1" x14ac:dyDescent="0.2">
      <c r="A79" s="20"/>
      <c r="B79" s="387" t="s">
        <v>345</v>
      </c>
      <c r="C79" s="387"/>
      <c r="D79" s="387"/>
      <c r="E79" s="387"/>
      <c r="F79" s="387"/>
      <c r="G79" s="387"/>
      <c r="H79" s="387"/>
      <c r="I79" s="387"/>
      <c r="J79" s="387"/>
      <c r="K79" s="387"/>
      <c r="L79" s="387"/>
      <c r="M79" s="387"/>
      <c r="N79" s="387"/>
      <c r="O79" s="387"/>
      <c r="P79" s="387"/>
      <c r="Q79" s="387"/>
      <c r="R79" s="387"/>
      <c r="Y79" s="33"/>
      <c r="Z79" s="33"/>
    </row>
    <row r="80" spans="1:53" ht="9.9" customHeight="1" x14ac:dyDescent="0.2">
      <c r="B80" s="387" t="s">
        <v>287</v>
      </c>
      <c r="C80" s="387"/>
      <c r="D80" s="387"/>
      <c r="E80" s="387"/>
      <c r="F80" s="387"/>
      <c r="G80" s="387"/>
      <c r="H80" s="387"/>
      <c r="I80" s="387"/>
      <c r="J80" s="387"/>
      <c r="K80" s="387"/>
      <c r="L80" s="387"/>
      <c r="M80" s="387"/>
      <c r="N80" s="387"/>
      <c r="O80" s="387"/>
      <c r="P80" s="387"/>
      <c r="Q80" s="387"/>
      <c r="R80" s="387"/>
    </row>
    <row r="81" spans="2:18" ht="9.9" customHeight="1" x14ac:dyDescent="0.2">
      <c r="B81" s="355"/>
      <c r="C81" s="355"/>
      <c r="D81" s="355"/>
      <c r="E81" s="355"/>
      <c r="F81" s="355"/>
      <c r="G81" s="355"/>
      <c r="H81" s="355"/>
      <c r="I81" s="355"/>
      <c r="J81" s="355"/>
      <c r="K81" s="355"/>
      <c r="L81" s="355"/>
      <c r="M81" s="355"/>
      <c r="N81" s="355"/>
      <c r="O81" s="355"/>
      <c r="P81" s="355"/>
      <c r="Q81" s="355"/>
      <c r="R81" s="355"/>
    </row>
    <row r="82" spans="2:18" ht="9" customHeight="1" x14ac:dyDescent="0.2"/>
    <row r="83" spans="2:18" ht="9" customHeight="1" x14ac:dyDescent="0.2"/>
    <row r="84" spans="2:18" ht="9" customHeight="1" x14ac:dyDescent="0.2"/>
    <row r="85" spans="2:18" ht="9" customHeight="1" x14ac:dyDescent="0.2"/>
  </sheetData>
  <sheetProtection password="BC50" sheet="1" objects="1" scenarios="1"/>
  <mergeCells count="205">
    <mergeCell ref="AE56:AE57"/>
    <mergeCell ref="AP69:AP71"/>
    <mergeCell ref="G77:P77"/>
    <mergeCell ref="G69:P69"/>
    <mergeCell ref="AP72:AP73"/>
    <mergeCell ref="AP74:AP75"/>
    <mergeCell ref="AP76:AP77"/>
    <mergeCell ref="R76:R77"/>
    <mergeCell ref="V72:V73"/>
    <mergeCell ref="V74:V75"/>
    <mergeCell ref="V76:V77"/>
    <mergeCell ref="H58:I58"/>
    <mergeCell ref="H59:I59"/>
    <mergeCell ref="H61:I61"/>
    <mergeCell ref="H62:I62"/>
    <mergeCell ref="J58:P58"/>
    <mergeCell ref="J59:P59"/>
    <mergeCell ref="J63:P63"/>
    <mergeCell ref="J62:P62"/>
    <mergeCell ref="J61:P61"/>
    <mergeCell ref="J64:P64"/>
    <mergeCell ref="V69:V71"/>
    <mergeCell ref="E69:E71"/>
    <mergeCell ref="C56:D56"/>
    <mergeCell ref="B66:D66"/>
    <mergeCell ref="G60:P60"/>
    <mergeCell ref="D69:D71"/>
    <mergeCell ref="F74:F75"/>
    <mergeCell ref="C69:C77"/>
    <mergeCell ref="B67:B77"/>
    <mergeCell ref="G68:P68"/>
    <mergeCell ref="G67:P67"/>
    <mergeCell ref="G75:P75"/>
    <mergeCell ref="G72:P72"/>
    <mergeCell ref="G73:P73"/>
    <mergeCell ref="G74:P74"/>
    <mergeCell ref="G76:P76"/>
    <mergeCell ref="B65:R65"/>
    <mergeCell ref="G70:P70"/>
    <mergeCell ref="G71:P71"/>
    <mergeCell ref="F69:F71"/>
    <mergeCell ref="G57:P57"/>
    <mergeCell ref="B3:D3"/>
    <mergeCell ref="E3:Q3"/>
    <mergeCell ref="B5:D5"/>
    <mergeCell ref="F6:F8"/>
    <mergeCell ref="B2:G2"/>
    <mergeCell ref="E6:E8"/>
    <mergeCell ref="E9:E11"/>
    <mergeCell ref="G5:R5"/>
    <mergeCell ref="B4:D4"/>
    <mergeCell ref="R6:R8"/>
    <mergeCell ref="R9:R11"/>
    <mergeCell ref="B6:B20"/>
    <mergeCell ref="F9:F11"/>
    <mergeCell ref="C16:D16"/>
    <mergeCell ref="C15:D15"/>
    <mergeCell ref="C12:D14"/>
    <mergeCell ref="C9:D11"/>
    <mergeCell ref="C6:D8"/>
    <mergeCell ref="E12:E14"/>
    <mergeCell ref="F12:F14"/>
    <mergeCell ref="R12:R14"/>
    <mergeCell ref="Q15:R15"/>
    <mergeCell ref="C17:D17"/>
    <mergeCell ref="C18:D18"/>
    <mergeCell ref="B80:R80"/>
    <mergeCell ref="B81:R81"/>
    <mergeCell ref="B47:B64"/>
    <mergeCell ref="C57:D64"/>
    <mergeCell ref="E57:E64"/>
    <mergeCell ref="F57:F64"/>
    <mergeCell ref="C67:D67"/>
    <mergeCell ref="C68:D68"/>
    <mergeCell ref="C49:D49"/>
    <mergeCell ref="C51:D51"/>
    <mergeCell ref="G66:P66"/>
    <mergeCell ref="Q57:R64"/>
    <mergeCell ref="B79:R79"/>
    <mergeCell ref="F76:F77"/>
    <mergeCell ref="D72:D73"/>
    <mergeCell ref="D74:D75"/>
    <mergeCell ref="D76:D77"/>
    <mergeCell ref="E72:E73"/>
    <mergeCell ref="E74:E75"/>
    <mergeCell ref="E76:E77"/>
    <mergeCell ref="F72:F73"/>
    <mergeCell ref="B78:R78"/>
    <mergeCell ref="C55:D55"/>
    <mergeCell ref="J47:R47"/>
    <mergeCell ref="C53:D53"/>
    <mergeCell ref="F26:F29"/>
    <mergeCell ref="E22:E25"/>
    <mergeCell ref="C30:D33"/>
    <mergeCell ref="C26:D29"/>
    <mergeCell ref="E44:Q44"/>
    <mergeCell ref="B37:R37"/>
    <mergeCell ref="B38:R38"/>
    <mergeCell ref="B40:R40"/>
    <mergeCell ref="G46:R46"/>
    <mergeCell ref="C47:D47"/>
    <mergeCell ref="C48:D48"/>
    <mergeCell ref="C50:D50"/>
    <mergeCell ref="R26:R29"/>
    <mergeCell ref="R30:R33"/>
    <mergeCell ref="G24:G25"/>
    <mergeCell ref="H35:P35"/>
    <mergeCell ref="H36:P36"/>
    <mergeCell ref="Q26:Q27"/>
    <mergeCell ref="Q28:Q29"/>
    <mergeCell ref="H31:K31"/>
    <mergeCell ref="H29:I29"/>
    <mergeCell ref="H53:I53"/>
    <mergeCell ref="M31:P31"/>
    <mergeCell ref="C20:D20"/>
    <mergeCell ref="C19:D19"/>
    <mergeCell ref="B41:R41"/>
    <mergeCell ref="E34:E36"/>
    <mergeCell ref="F34:F36"/>
    <mergeCell ref="C52:D52"/>
    <mergeCell ref="Q13:Q14"/>
    <mergeCell ref="H8:I8"/>
    <mergeCell ref="J8:K8"/>
    <mergeCell ref="L8:N8"/>
    <mergeCell ref="C34:D36"/>
    <mergeCell ref="B39:R39"/>
    <mergeCell ref="B45:D45"/>
    <mergeCell ref="B21:B36"/>
    <mergeCell ref="G22:G23"/>
    <mergeCell ref="E30:E33"/>
    <mergeCell ref="F30:F33"/>
    <mergeCell ref="E26:E29"/>
    <mergeCell ref="R34:R36"/>
    <mergeCell ref="B46:D46"/>
    <mergeCell ref="B43:G43"/>
    <mergeCell ref="B44:D44"/>
    <mergeCell ref="G18:P18"/>
    <mergeCell ref="G19:P19"/>
    <mergeCell ref="C54:D54"/>
    <mergeCell ref="C21:C25"/>
    <mergeCell ref="D24:D25"/>
    <mergeCell ref="D21:D23"/>
    <mergeCell ref="F22:F25"/>
    <mergeCell ref="Q35:Q36"/>
    <mergeCell ref="Q32:Q33"/>
    <mergeCell ref="H6:P6"/>
    <mergeCell ref="P1:Q1"/>
    <mergeCell ref="K9:L9"/>
    <mergeCell ref="N9:O9"/>
    <mergeCell ref="H10:K10"/>
    <mergeCell ref="M10:P10"/>
    <mergeCell ref="H7:K7"/>
    <mergeCell ref="M7:P7"/>
    <mergeCell ref="Q7:Q8"/>
    <mergeCell ref="Q10:Q11"/>
    <mergeCell ref="H28:K28"/>
    <mergeCell ref="M28:P28"/>
    <mergeCell ref="K30:L30"/>
    <mergeCell ref="N30:O30"/>
    <mergeCell ref="G16:P16"/>
    <mergeCell ref="G20:P20"/>
    <mergeCell ref="G17:P17"/>
    <mergeCell ref="H54:I54"/>
    <mergeCell ref="H56:I56"/>
    <mergeCell ref="H55:I55"/>
    <mergeCell ref="J48:R48"/>
    <mergeCell ref="J51:R51"/>
    <mergeCell ref="J52:R52"/>
    <mergeCell ref="J50:R50"/>
    <mergeCell ref="J49:R49"/>
    <mergeCell ref="J53:R53"/>
    <mergeCell ref="J54:R54"/>
    <mergeCell ref="J56:R56"/>
    <mergeCell ref="J55:R55"/>
    <mergeCell ref="H48:I48"/>
    <mergeCell ref="H49:I49"/>
    <mergeCell ref="H50:I50"/>
    <mergeCell ref="H51:I51"/>
    <mergeCell ref="H52:I52"/>
    <mergeCell ref="H32:K32"/>
    <mergeCell ref="M32:P32"/>
    <mergeCell ref="H33:K33"/>
    <mergeCell ref="L33:P33"/>
    <mergeCell ref="K34:L34"/>
    <mergeCell ref="N34:O34"/>
    <mergeCell ref="Q30:Q31"/>
    <mergeCell ref="B42:R42"/>
    <mergeCell ref="H47:I47"/>
    <mergeCell ref="H23:Q23"/>
    <mergeCell ref="H24:Q24"/>
    <mergeCell ref="H25:Q25"/>
    <mergeCell ref="H26:P26"/>
    <mergeCell ref="H27:K27"/>
    <mergeCell ref="M27:P27"/>
    <mergeCell ref="J29:K29"/>
    <mergeCell ref="L29:N29"/>
    <mergeCell ref="H11:K11"/>
    <mergeCell ref="L11:P11"/>
    <mergeCell ref="K12:L12"/>
    <mergeCell ref="N12:O12"/>
    <mergeCell ref="H13:P13"/>
    <mergeCell ref="H14:P14"/>
    <mergeCell ref="H15:P15"/>
    <mergeCell ref="H21:Q21"/>
    <mergeCell ref="H22:Q22"/>
  </mergeCells>
  <phoneticPr fontId="36"/>
  <conditionalFormatting sqref="E67:O67 E74 E76:F76 F77 Q67:Q77 E69:F69 E72:F72 F68">
    <cfRule type="expression" dxfId="20" priority="128">
      <formula>#REF!=0</formula>
    </cfRule>
  </conditionalFormatting>
  <conditionalFormatting sqref="F76:F77">
    <cfRule type="expression" dxfId="19" priority="141">
      <formula>#REF!=2</formula>
    </cfRule>
  </conditionalFormatting>
  <conditionalFormatting sqref="F76:F77 Q67:Q77 F69 F72">
    <cfRule type="expression" dxfId="18" priority="146">
      <formula>#REF!&gt;2</formula>
    </cfRule>
  </conditionalFormatting>
  <conditionalFormatting sqref="F74">
    <cfRule type="expression" dxfId="17" priority="69">
      <formula>#REF!=0</formula>
    </cfRule>
  </conditionalFormatting>
  <conditionalFormatting sqref="F74">
    <cfRule type="expression" dxfId="16" priority="70">
      <formula>#REF!&gt;2</formula>
    </cfRule>
  </conditionalFormatting>
  <conditionalFormatting sqref="J59">
    <cfRule type="expression" dxfId="15" priority="67">
      <formula>#REF!=0</formula>
    </cfRule>
  </conditionalFormatting>
  <conditionalFormatting sqref="J59">
    <cfRule type="expression" dxfId="14" priority="68">
      <formula>#REF!&gt;2</formula>
    </cfRule>
  </conditionalFormatting>
  <conditionalFormatting sqref="J62">
    <cfRule type="expression" dxfId="13" priority="42">
      <formula>#REF!=0</formula>
    </cfRule>
  </conditionalFormatting>
  <conditionalFormatting sqref="J62">
    <cfRule type="expression" dxfId="12" priority="43">
      <formula>#REF!&gt;2</formula>
    </cfRule>
  </conditionalFormatting>
  <conditionalFormatting sqref="G74:O75">
    <cfRule type="expression" dxfId="11" priority="25">
      <formula>#REF!=0</formula>
    </cfRule>
  </conditionalFormatting>
  <conditionalFormatting sqref="G74:O75">
    <cfRule type="expression" dxfId="10" priority="26">
      <formula>#REF!&gt;2</formula>
    </cfRule>
  </conditionalFormatting>
  <conditionalFormatting sqref="G77:O77">
    <cfRule type="expression" dxfId="9" priority="8">
      <formula>#REF!=0</formula>
    </cfRule>
  </conditionalFormatting>
  <conditionalFormatting sqref="G77:O77">
    <cfRule type="expression" dxfId="8" priority="9">
      <formula>#REF!=2</formula>
    </cfRule>
  </conditionalFormatting>
  <conditionalFormatting sqref="G77:O77">
    <cfRule type="expression" dxfId="7" priority="10">
      <formula>#REF!&gt;2</formula>
    </cfRule>
  </conditionalFormatting>
  <conditionalFormatting sqref="G69:O71">
    <cfRule type="expression" dxfId="6" priority="6">
      <formula>#REF!=0</formula>
    </cfRule>
  </conditionalFormatting>
  <conditionalFormatting sqref="G69:O71">
    <cfRule type="expression" dxfId="5" priority="7">
      <formula>#REF!&gt;2</formula>
    </cfRule>
  </conditionalFormatting>
  <conditionalFormatting sqref="G76:O76">
    <cfRule type="expression" dxfId="4" priority="3">
      <formula>#REF!=0</formula>
    </cfRule>
  </conditionalFormatting>
  <conditionalFormatting sqref="G76:O76">
    <cfRule type="expression" dxfId="3" priority="4">
      <formula>#REF!=2</formula>
    </cfRule>
  </conditionalFormatting>
  <conditionalFormatting sqref="G76:O76">
    <cfRule type="expression" dxfId="2" priority="5">
      <formula>#REF!&gt;2</formula>
    </cfRule>
  </conditionalFormatting>
  <conditionalFormatting sqref="G72:O73">
    <cfRule type="expression" dxfId="1" priority="1">
      <formula>#REF!=0</formula>
    </cfRule>
  </conditionalFormatting>
  <conditionalFormatting sqref="G72:O73">
    <cfRule type="expression" dxfId="0" priority="2">
      <formula>#REF!&gt;2</formula>
    </cfRule>
  </conditionalFormatting>
  <dataValidations count="1">
    <dataValidation imeMode="halfAlpha" allowBlank="1" showInputMessage="1" showErrorMessage="1" sqref="I9 H8:I8 O8 N9:O9 K9:L9 I12 K12:L12 N12:O12 H29:I29 I30 K30:L30 O29 N30:O30 I34 K34:L34 N34:O34"/>
  </dataValidations>
  <printOptions horizontalCentered="1"/>
  <pageMargins left="0.55118110236220474" right="0.55118110236220474" top="0.39370078740157483" bottom="0.19685039370078741" header="0.51181102362204722" footer="0.51181102362204722"/>
  <pageSetup paperSize="9" scale="77" orientation="portrait" r:id="rId1"/>
  <rowBreaks count="2" manualBreakCount="2">
    <brk id="1" max="11" man="1"/>
    <brk id="42"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リスト!$K$9:$K$12</xm:f>
          </x14:formula1>
          <xm:sqref>J56</xm:sqref>
        </x14:dataValidation>
        <x14:dataValidation type="list" allowBlank="1" showInputMessage="1" showErrorMessage="1">
          <x14:formula1>
            <xm:f>リスト!$M$4:$M$5</xm:f>
          </x14:formula1>
          <xm:sqref>R17:R20 Q67:Q77 H15:P15 J48:J49 J51:J54</xm:sqref>
        </x14:dataValidation>
        <x14:dataValidation type="list" allowBlank="1" showInputMessage="1" showErrorMessage="1">
          <x14:formula1>
            <xm:f>リスト!$H$4:$H$8</xm:f>
          </x14:formula1>
          <xm:sqref>J47</xm:sqref>
        </x14:dataValidation>
        <x14:dataValidation type="list" allowBlank="1" showInputMessage="1" showErrorMessage="1">
          <x14:formula1>
            <xm:f>リスト!$I$4:$I$7</xm:f>
          </x14:formula1>
          <xm:sqref>J50</xm:sqref>
        </x14:dataValidation>
        <x14:dataValidation type="list" allowBlank="1" showInputMessage="1" showErrorMessage="1">
          <x14:formula1>
            <xm:f>リスト2!$C$3:$C$64</xm:f>
          </x14:formula1>
          <xm:sqref>J58 J61 R67:R77</xm:sqref>
        </x14:dataValidation>
        <x14:dataValidation type="list" allowBlank="1" showInputMessage="1" showErrorMessage="1">
          <x14:formula1>
            <xm:f>リスト!$G$4:$G$6</xm:f>
          </x14:formula1>
          <xm:sqref>R16</xm:sqref>
        </x14:dataValidation>
        <x14:dataValidation type="list" allowBlank="1" showInputMessage="1" showErrorMessage="1">
          <x14:formula1>
            <xm:f>リスト!$N$4:$N$7</xm:f>
          </x14:formula1>
          <xm:sqref>J59</xm:sqref>
        </x14:dataValidation>
        <x14:dataValidation type="list" allowBlank="1" showInputMessage="1" showErrorMessage="1">
          <x14:formula1>
            <xm:f>リスト!$N$5:$N$7</xm:f>
          </x14:formula1>
          <xm:sqref>J62</xm:sqref>
        </x14:dataValidation>
        <x14:dataValidation type="list" allowBlank="1" showInputMessage="1" showErrorMessage="1">
          <x14:formula1>
            <xm:f>リスト!$D$4:$D$7</xm:f>
          </x14:formula1>
          <xm:sqref>H11:K11</xm:sqref>
        </x14:dataValidation>
        <x14:dataValidation type="list" allowBlank="1" showInputMessage="1" showErrorMessage="1">
          <x14:formula1>
            <xm:f>リスト!$E$4:$E$5</xm:f>
          </x14:formula1>
          <xm:sqref>H33:K33</xm:sqref>
        </x14:dataValidation>
        <x14:dataValidation type="list" allowBlank="1" showInputMessage="1" showErrorMessage="1">
          <x14:formula1>
            <xm:f>リスト!$O$4:$O$5</xm:f>
          </x14:formula1>
          <xm:sqref>J55:R55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topLeftCell="B1" workbookViewId="0">
      <selection activeCell="B3" sqref="B3"/>
    </sheetView>
  </sheetViews>
  <sheetFormatPr defaultColWidth="9" defaultRowHeight="13.2" x14ac:dyDescent="0.2"/>
  <cols>
    <col min="1" max="1" width="33.109375" style="2" customWidth="1"/>
    <col min="2" max="2" width="11.33203125" style="2" customWidth="1"/>
    <col min="3" max="3" width="12.44140625" style="2" customWidth="1"/>
    <col min="4" max="4" width="18.77734375" style="2" customWidth="1"/>
    <col min="5" max="5" width="21.6640625" style="2" customWidth="1"/>
    <col min="6" max="6" width="18.77734375" style="2" customWidth="1"/>
    <col min="7" max="7" width="36.109375" style="2" customWidth="1"/>
    <col min="8" max="8" width="88" style="2" customWidth="1"/>
    <col min="9" max="9" width="100.33203125" style="2" customWidth="1"/>
    <col min="10" max="10" width="35.21875" style="2" customWidth="1"/>
    <col min="11" max="11" width="48.109375" style="2" customWidth="1"/>
    <col min="12" max="12" width="22.77734375" style="2" customWidth="1"/>
    <col min="13" max="13" width="9.21875" style="2" customWidth="1"/>
    <col min="14" max="14" width="38.44140625" style="2" customWidth="1"/>
    <col min="15" max="15" width="24.109375" style="2" customWidth="1"/>
    <col min="16" max="16384" width="9" style="2"/>
  </cols>
  <sheetData>
    <row r="3" spans="1:15" x14ac:dyDescent="0.2">
      <c r="A3" s="2" t="s">
        <v>44</v>
      </c>
      <c r="B3" s="2" t="s">
        <v>38</v>
      </c>
      <c r="C3" s="2" t="s">
        <v>22</v>
      </c>
      <c r="D3" s="2" t="s">
        <v>139</v>
      </c>
      <c r="E3" s="2" t="s">
        <v>142</v>
      </c>
      <c r="F3" s="2" t="s">
        <v>126</v>
      </c>
      <c r="G3" s="2" t="s">
        <v>203</v>
      </c>
      <c r="H3" s="2" t="s">
        <v>214</v>
      </c>
      <c r="I3" s="2" t="s">
        <v>212</v>
      </c>
      <c r="J3" s="2" t="s">
        <v>23</v>
      </c>
      <c r="K3" s="3" t="s">
        <v>24</v>
      </c>
      <c r="L3" s="2" t="s">
        <v>25</v>
      </c>
      <c r="M3" s="2" t="s">
        <v>26</v>
      </c>
      <c r="N3" s="2" t="s">
        <v>275</v>
      </c>
      <c r="O3" s="2" t="s">
        <v>340</v>
      </c>
    </row>
    <row r="4" spans="1:15" x14ac:dyDescent="0.2">
      <c r="A4" s="2" t="s">
        <v>43</v>
      </c>
      <c r="B4" s="2" t="s">
        <v>39</v>
      </c>
      <c r="C4" s="2" t="s">
        <v>196</v>
      </c>
      <c r="D4" s="2" t="s">
        <v>420</v>
      </c>
      <c r="E4" s="2" t="s">
        <v>140</v>
      </c>
      <c r="F4" s="2" t="s">
        <v>127</v>
      </c>
      <c r="G4" s="178" t="s">
        <v>426</v>
      </c>
      <c r="H4" s="2" t="s">
        <v>215</v>
      </c>
      <c r="I4" s="2" t="s">
        <v>219</v>
      </c>
      <c r="J4" s="2" t="s">
        <v>175</v>
      </c>
      <c r="K4" s="2" t="s">
        <v>243</v>
      </c>
      <c r="L4" s="2" t="s">
        <v>29</v>
      </c>
      <c r="M4" s="2" t="s">
        <v>30</v>
      </c>
      <c r="N4" s="2" t="s">
        <v>276</v>
      </c>
      <c r="O4" s="2" t="s">
        <v>371</v>
      </c>
    </row>
    <row r="5" spans="1:15" x14ac:dyDescent="0.2">
      <c r="A5" s="2" t="s">
        <v>42</v>
      </c>
      <c r="B5" s="2" t="s">
        <v>40</v>
      </c>
      <c r="C5" s="2" t="s">
        <v>422</v>
      </c>
      <c r="D5" s="2" t="s">
        <v>419</v>
      </c>
      <c r="E5" s="2" t="s">
        <v>35</v>
      </c>
      <c r="F5" s="2" t="s">
        <v>128</v>
      </c>
      <c r="G5" s="2" t="s">
        <v>204</v>
      </c>
      <c r="H5" s="2" t="s">
        <v>216</v>
      </c>
      <c r="I5" s="2" t="s">
        <v>220</v>
      </c>
      <c r="J5" s="2" t="s">
        <v>5</v>
      </c>
      <c r="K5" s="2" t="s">
        <v>35</v>
      </c>
      <c r="L5" s="2" t="s">
        <v>33</v>
      </c>
      <c r="M5" s="2" t="s">
        <v>35</v>
      </c>
      <c r="N5" s="2" t="s">
        <v>31</v>
      </c>
      <c r="O5" s="2" t="s">
        <v>35</v>
      </c>
    </row>
    <row r="6" spans="1:15" x14ac:dyDescent="0.2">
      <c r="B6" s="2" t="s">
        <v>6</v>
      </c>
      <c r="C6" s="2" t="s">
        <v>35</v>
      </c>
      <c r="D6" s="2" t="s">
        <v>303</v>
      </c>
      <c r="F6" s="2" t="s">
        <v>180</v>
      </c>
      <c r="G6" s="2" t="s">
        <v>35</v>
      </c>
      <c r="H6" s="2" t="s">
        <v>217</v>
      </c>
      <c r="I6" s="2" t="s">
        <v>221</v>
      </c>
      <c r="J6" s="2" t="s">
        <v>35</v>
      </c>
      <c r="L6" s="2" t="s">
        <v>35</v>
      </c>
      <c r="N6" s="2" t="s">
        <v>5</v>
      </c>
    </row>
    <row r="7" spans="1:15" x14ac:dyDescent="0.2">
      <c r="B7" s="2" t="s">
        <v>41</v>
      </c>
      <c r="D7" s="2" t="s">
        <v>421</v>
      </c>
      <c r="F7" s="2" t="s">
        <v>181</v>
      </c>
      <c r="H7" s="2" t="s">
        <v>218</v>
      </c>
      <c r="I7" s="2" t="s">
        <v>35</v>
      </c>
      <c r="N7" s="2" t="s">
        <v>277</v>
      </c>
    </row>
    <row r="8" spans="1:15" x14ac:dyDescent="0.2">
      <c r="B8" s="2" t="s">
        <v>35</v>
      </c>
      <c r="F8" s="2" t="s">
        <v>182</v>
      </c>
      <c r="H8" s="2" t="s">
        <v>35</v>
      </c>
    </row>
    <row r="9" spans="1:15" x14ac:dyDescent="0.2">
      <c r="F9" s="2" t="s">
        <v>183</v>
      </c>
      <c r="K9" s="2" t="s">
        <v>244</v>
      </c>
    </row>
    <row r="10" spans="1:15" x14ac:dyDescent="0.2">
      <c r="F10" s="2" t="s">
        <v>184</v>
      </c>
      <c r="K10" s="2" t="s">
        <v>245</v>
      </c>
    </row>
    <row r="11" spans="1:15" x14ac:dyDescent="0.2">
      <c r="F11" s="2" t="s">
        <v>185</v>
      </c>
      <c r="K11" s="2" t="s">
        <v>246</v>
      </c>
    </row>
    <row r="12" spans="1:15" x14ac:dyDescent="0.2">
      <c r="F12" s="2" t="s">
        <v>186</v>
      </c>
      <c r="K12" s="2" t="s">
        <v>35</v>
      </c>
    </row>
    <row r="13" spans="1:15" x14ac:dyDescent="0.2">
      <c r="F13" s="2" t="s">
        <v>187</v>
      </c>
    </row>
    <row r="14" spans="1:15" x14ac:dyDescent="0.2">
      <c r="F14" s="2" t="s">
        <v>188</v>
      </c>
    </row>
    <row r="15" spans="1:15" x14ac:dyDescent="0.2">
      <c r="F15" s="2" t="s">
        <v>189</v>
      </c>
    </row>
    <row r="16" spans="1:15" x14ac:dyDescent="0.2">
      <c r="F16" s="2" t="s">
        <v>190</v>
      </c>
    </row>
    <row r="17" spans="6:6" x14ac:dyDescent="0.2">
      <c r="F17" s="2" t="s">
        <v>191</v>
      </c>
    </row>
    <row r="18" spans="6:6" x14ac:dyDescent="0.2">
      <c r="F18" s="2" t="s">
        <v>192</v>
      </c>
    </row>
    <row r="19" spans="6:6" x14ac:dyDescent="0.2">
      <c r="F19" s="2" t="s">
        <v>193</v>
      </c>
    </row>
    <row r="20" spans="6:6" x14ac:dyDescent="0.2">
      <c r="F20" s="2" t="s">
        <v>194</v>
      </c>
    </row>
    <row r="21" spans="6:6" x14ac:dyDescent="0.2">
      <c r="F21" s="2" t="s">
        <v>195</v>
      </c>
    </row>
  </sheetData>
  <sheetProtection password="BC50" sheet="1" objects="1" scenarios="1"/>
  <phoneticPr fontId="3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 min="7" max="7" width="10.109375" customWidth="1"/>
  </cols>
  <sheetData>
    <row r="2" spans="2:9" ht="39" customHeight="1" x14ac:dyDescent="0.2">
      <c r="B2" s="4" t="s">
        <v>148</v>
      </c>
      <c r="C2" s="4" t="s">
        <v>123</v>
      </c>
      <c r="D2" s="5" t="s">
        <v>147</v>
      </c>
      <c r="E2" s="4" t="s">
        <v>124</v>
      </c>
      <c r="F2" s="213" t="s">
        <v>388</v>
      </c>
      <c r="G2" s="4" t="s">
        <v>38</v>
      </c>
      <c r="H2" s="1" t="s">
        <v>236</v>
      </c>
      <c r="I2" s="1"/>
    </row>
    <row r="3" spans="2:9" x14ac:dyDescent="0.2">
      <c r="B3" s="6">
        <v>1</v>
      </c>
      <c r="C3" s="6" t="s">
        <v>66</v>
      </c>
      <c r="D3" s="6" t="s">
        <v>45</v>
      </c>
      <c r="E3" s="6" t="s">
        <v>61</v>
      </c>
      <c r="F3" s="1" t="s">
        <v>6</v>
      </c>
      <c r="G3" s="6" t="s">
        <v>39</v>
      </c>
      <c r="H3" s="1" t="s">
        <v>237</v>
      </c>
      <c r="I3" s="1">
        <v>2</v>
      </c>
    </row>
    <row r="4" spans="2:9" x14ac:dyDescent="0.2">
      <c r="B4" s="6">
        <v>2</v>
      </c>
      <c r="C4" s="6" t="s">
        <v>67</v>
      </c>
      <c r="D4" s="6" t="s">
        <v>45</v>
      </c>
      <c r="E4" s="6" t="s">
        <v>61</v>
      </c>
      <c r="F4" s="1" t="s">
        <v>6</v>
      </c>
      <c r="G4" s="6" t="s">
        <v>40</v>
      </c>
      <c r="H4" s="1" t="s">
        <v>238</v>
      </c>
      <c r="I4" s="1">
        <v>3</v>
      </c>
    </row>
    <row r="5" spans="2:9" x14ac:dyDescent="0.2">
      <c r="B5" s="6">
        <v>3</v>
      </c>
      <c r="C5" s="6" t="s">
        <v>68</v>
      </c>
      <c r="D5" s="6" t="s">
        <v>46</v>
      </c>
      <c r="E5" s="6" t="s">
        <v>61</v>
      </c>
      <c r="F5" s="1" t="s">
        <v>6</v>
      </c>
      <c r="G5" s="6" t="s">
        <v>6</v>
      </c>
      <c r="H5" s="1" t="s">
        <v>238</v>
      </c>
      <c r="I5" s="1">
        <v>3</v>
      </c>
    </row>
    <row r="6" spans="2:9" x14ac:dyDescent="0.2">
      <c r="B6" s="6">
        <v>4</v>
      </c>
      <c r="C6" s="6" t="s">
        <v>69</v>
      </c>
      <c r="D6" s="6" t="s">
        <v>46</v>
      </c>
      <c r="E6" s="6" t="s">
        <v>61</v>
      </c>
      <c r="F6" s="1" t="s">
        <v>6</v>
      </c>
      <c r="G6" s="6" t="s">
        <v>41</v>
      </c>
      <c r="H6" s="1" t="s">
        <v>239</v>
      </c>
      <c r="I6" s="1">
        <v>4</v>
      </c>
    </row>
    <row r="7" spans="2:9" x14ac:dyDescent="0.2">
      <c r="B7" s="6">
        <v>5</v>
      </c>
      <c r="C7" s="6" t="s">
        <v>70</v>
      </c>
      <c r="D7" s="6" t="s">
        <v>46</v>
      </c>
      <c r="E7" s="6" t="s">
        <v>61</v>
      </c>
      <c r="F7" s="1" t="s">
        <v>6</v>
      </c>
      <c r="G7" s="6" t="s">
        <v>35</v>
      </c>
      <c r="H7" s="1"/>
      <c r="I7" s="1"/>
    </row>
    <row r="8" spans="2:9" x14ac:dyDescent="0.2">
      <c r="B8" s="6">
        <v>6</v>
      </c>
      <c r="C8" s="6" t="s">
        <v>71</v>
      </c>
      <c r="D8" s="6" t="s">
        <v>47</v>
      </c>
      <c r="E8" s="6" t="s">
        <v>61</v>
      </c>
      <c r="F8" s="1" t="s">
        <v>6</v>
      </c>
    </row>
    <row r="9" spans="2:9" x14ac:dyDescent="0.2">
      <c r="B9" s="6">
        <v>7</v>
      </c>
      <c r="C9" s="6" t="s">
        <v>72</v>
      </c>
      <c r="D9" s="6" t="s">
        <v>47</v>
      </c>
      <c r="E9" s="6" t="s">
        <v>61</v>
      </c>
      <c r="F9" s="1" t="s">
        <v>6</v>
      </c>
    </row>
    <row r="10" spans="2:9" x14ac:dyDescent="0.2">
      <c r="B10" s="6">
        <v>8</v>
      </c>
      <c r="C10" s="6" t="s">
        <v>73</v>
      </c>
      <c r="D10" s="6" t="s">
        <v>47</v>
      </c>
      <c r="E10" s="6" t="s">
        <v>61</v>
      </c>
      <c r="F10" s="1" t="s">
        <v>6</v>
      </c>
    </row>
    <row r="11" spans="2:9" x14ac:dyDescent="0.2">
      <c r="B11" s="6">
        <v>9</v>
      </c>
      <c r="C11" s="6" t="s">
        <v>74</v>
      </c>
      <c r="D11" s="6" t="s">
        <v>53</v>
      </c>
      <c r="E11" s="6" t="s">
        <v>48</v>
      </c>
      <c r="F11" s="1" t="s">
        <v>6</v>
      </c>
    </row>
    <row r="12" spans="2:9" x14ac:dyDescent="0.2">
      <c r="B12" s="6">
        <v>10</v>
      </c>
      <c r="C12" s="6" t="s">
        <v>75</v>
      </c>
      <c r="D12" s="6" t="s">
        <v>49</v>
      </c>
      <c r="E12" s="6" t="s">
        <v>48</v>
      </c>
      <c r="F12" s="1" t="s">
        <v>6</v>
      </c>
    </row>
    <row r="13" spans="2:9" x14ac:dyDescent="0.2">
      <c r="B13" s="6">
        <v>11</v>
      </c>
      <c r="C13" s="6" t="s">
        <v>76</v>
      </c>
      <c r="D13" s="6" t="s">
        <v>49</v>
      </c>
      <c r="E13" s="6" t="s">
        <v>48</v>
      </c>
      <c r="F13" s="1" t="s">
        <v>6</v>
      </c>
    </row>
    <row r="14" spans="2:9" x14ac:dyDescent="0.2">
      <c r="B14" s="6">
        <v>12</v>
      </c>
      <c r="C14" s="6" t="s">
        <v>77</v>
      </c>
      <c r="D14" s="6" t="s">
        <v>49</v>
      </c>
      <c r="E14" s="6" t="s">
        <v>48</v>
      </c>
      <c r="F14" s="1" t="s">
        <v>6</v>
      </c>
    </row>
    <row r="15" spans="2:9" x14ac:dyDescent="0.2">
      <c r="B15" s="6">
        <v>13</v>
      </c>
      <c r="C15" s="6" t="s">
        <v>78</v>
      </c>
      <c r="D15" s="6" t="s">
        <v>50</v>
      </c>
      <c r="E15" s="6" t="s">
        <v>48</v>
      </c>
      <c r="F15" s="1" t="s">
        <v>6</v>
      </c>
    </row>
    <row r="16" spans="2:9" x14ac:dyDescent="0.2">
      <c r="B16" s="6">
        <v>14</v>
      </c>
      <c r="C16" s="6" t="s">
        <v>79</v>
      </c>
      <c r="D16" s="6" t="s">
        <v>50</v>
      </c>
      <c r="E16" s="6" t="s">
        <v>48</v>
      </c>
      <c r="F16" s="1" t="s">
        <v>6</v>
      </c>
    </row>
    <row r="17" spans="2:6" x14ac:dyDescent="0.2">
      <c r="B17" s="6">
        <v>15</v>
      </c>
      <c r="C17" s="6" t="s">
        <v>80</v>
      </c>
      <c r="D17" s="6" t="s">
        <v>50</v>
      </c>
      <c r="E17" s="6" t="s">
        <v>48</v>
      </c>
      <c r="F17" s="1" t="s">
        <v>6</v>
      </c>
    </row>
    <row r="18" spans="2:6" x14ac:dyDescent="0.2">
      <c r="B18" s="6">
        <v>16</v>
      </c>
      <c r="C18" s="6" t="s">
        <v>81</v>
      </c>
      <c r="D18" s="6" t="s">
        <v>51</v>
      </c>
      <c r="E18" s="6" t="s">
        <v>48</v>
      </c>
      <c r="F18" s="1" t="s">
        <v>6</v>
      </c>
    </row>
    <row r="19" spans="2:6" x14ac:dyDescent="0.2">
      <c r="B19" s="6">
        <v>17</v>
      </c>
      <c r="C19" s="6" t="s">
        <v>82</v>
      </c>
      <c r="D19" s="6" t="s">
        <v>51</v>
      </c>
      <c r="E19" s="6" t="s">
        <v>48</v>
      </c>
      <c r="F19" s="1" t="s">
        <v>6</v>
      </c>
    </row>
    <row r="20" spans="2:6" x14ac:dyDescent="0.2">
      <c r="B20" s="6">
        <v>18</v>
      </c>
      <c r="C20" s="6" t="s">
        <v>83</v>
      </c>
      <c r="D20" s="6" t="s">
        <v>51</v>
      </c>
      <c r="E20" s="6" t="s">
        <v>48</v>
      </c>
      <c r="F20" s="1" t="s">
        <v>6</v>
      </c>
    </row>
    <row r="21" spans="2:6" x14ac:dyDescent="0.2">
      <c r="B21" s="6">
        <v>19</v>
      </c>
      <c r="C21" s="6" t="s">
        <v>84</v>
      </c>
      <c r="D21" s="6" t="s">
        <v>51</v>
      </c>
      <c r="E21" s="6" t="s">
        <v>48</v>
      </c>
      <c r="F21" s="1" t="s">
        <v>6</v>
      </c>
    </row>
    <row r="22" spans="2:6" x14ac:dyDescent="0.2">
      <c r="B22" s="6">
        <v>20</v>
      </c>
      <c r="C22" s="6" t="s">
        <v>85</v>
      </c>
      <c r="D22" s="6" t="s">
        <v>51</v>
      </c>
      <c r="E22" s="6" t="s">
        <v>48</v>
      </c>
      <c r="F22" s="1" t="s">
        <v>6</v>
      </c>
    </row>
    <row r="23" spans="2:6" x14ac:dyDescent="0.2">
      <c r="B23" s="6">
        <v>21</v>
      </c>
      <c r="C23" s="6" t="s">
        <v>86</v>
      </c>
      <c r="D23" s="6" t="s">
        <v>52</v>
      </c>
      <c r="E23" s="7" t="s">
        <v>62</v>
      </c>
      <c r="F23" s="1" t="s">
        <v>6</v>
      </c>
    </row>
    <row r="24" spans="2:6" x14ac:dyDescent="0.2">
      <c r="B24" s="6">
        <v>22</v>
      </c>
      <c r="C24" s="6" t="s">
        <v>87</v>
      </c>
      <c r="D24" s="6" t="s">
        <v>52</v>
      </c>
      <c r="E24" s="7" t="s">
        <v>62</v>
      </c>
      <c r="F24" s="1" t="s">
        <v>6</v>
      </c>
    </row>
    <row r="25" spans="2:6" x14ac:dyDescent="0.2">
      <c r="B25" s="6">
        <v>23</v>
      </c>
      <c r="C25" s="6" t="s">
        <v>88</v>
      </c>
      <c r="D25" s="6" t="s">
        <v>52</v>
      </c>
      <c r="E25" s="7" t="s">
        <v>62</v>
      </c>
      <c r="F25" s="1" t="s">
        <v>6</v>
      </c>
    </row>
    <row r="26" spans="2:6" x14ac:dyDescent="0.2">
      <c r="B26" s="6">
        <v>24</v>
      </c>
      <c r="C26" s="6" t="s">
        <v>89</v>
      </c>
      <c r="D26" s="6" t="s">
        <v>52</v>
      </c>
      <c r="E26" s="7" t="s">
        <v>62</v>
      </c>
      <c r="F26" s="1" t="s">
        <v>6</v>
      </c>
    </row>
    <row r="27" spans="2:6" x14ac:dyDescent="0.2">
      <c r="B27" s="6">
        <v>25</v>
      </c>
      <c r="C27" s="6" t="s">
        <v>90</v>
      </c>
      <c r="D27" s="6" t="s">
        <v>52</v>
      </c>
      <c r="E27" s="7" t="s">
        <v>62</v>
      </c>
      <c r="F27" s="1" t="s">
        <v>6</v>
      </c>
    </row>
    <row r="28" spans="2:6" x14ac:dyDescent="0.2">
      <c r="B28" s="6">
        <v>26</v>
      </c>
      <c r="C28" s="6" t="s">
        <v>91</v>
      </c>
      <c r="D28" s="6" t="s">
        <v>54</v>
      </c>
      <c r="E28" s="7" t="s">
        <v>62</v>
      </c>
      <c r="F28" s="1" t="s">
        <v>6</v>
      </c>
    </row>
    <row r="29" spans="2:6" x14ac:dyDescent="0.2">
      <c r="B29" s="6">
        <v>27</v>
      </c>
      <c r="C29" s="6" t="s">
        <v>92</v>
      </c>
      <c r="D29" s="6" t="s">
        <v>54</v>
      </c>
      <c r="E29" s="7" t="s">
        <v>62</v>
      </c>
      <c r="F29" s="1" t="s">
        <v>6</v>
      </c>
    </row>
    <row r="30" spans="2:6" x14ac:dyDescent="0.2">
      <c r="B30" s="6">
        <v>28</v>
      </c>
      <c r="C30" s="6" t="s">
        <v>93</v>
      </c>
      <c r="D30" s="6" t="s">
        <v>54</v>
      </c>
      <c r="E30" s="7" t="s">
        <v>62</v>
      </c>
      <c r="F30" s="1" t="s">
        <v>6</v>
      </c>
    </row>
    <row r="31" spans="2:6" x14ac:dyDescent="0.2">
      <c r="B31" s="6">
        <v>29</v>
      </c>
      <c r="C31" s="6" t="s">
        <v>94</v>
      </c>
      <c r="D31" s="6" t="s">
        <v>54</v>
      </c>
      <c r="E31" s="7" t="s">
        <v>62</v>
      </c>
      <c r="F31" s="1" t="s">
        <v>6</v>
      </c>
    </row>
    <row r="32" spans="2:6" x14ac:dyDescent="0.2">
      <c r="B32" s="6">
        <v>30</v>
      </c>
      <c r="C32" s="6" t="s">
        <v>95</v>
      </c>
      <c r="D32" s="6" t="s">
        <v>55</v>
      </c>
      <c r="E32" s="7" t="s">
        <v>63</v>
      </c>
      <c r="F32" s="1" t="s">
        <v>6</v>
      </c>
    </row>
    <row r="33" spans="2:6" x14ac:dyDescent="0.2">
      <c r="B33" s="6">
        <v>31</v>
      </c>
      <c r="C33" s="6" t="s">
        <v>96</v>
      </c>
      <c r="D33" s="6" t="s">
        <v>55</v>
      </c>
      <c r="E33" s="7" t="s">
        <v>63</v>
      </c>
      <c r="F33" s="1" t="s">
        <v>6</v>
      </c>
    </row>
    <row r="34" spans="2:6" x14ac:dyDescent="0.2">
      <c r="B34" s="6">
        <v>32</v>
      </c>
      <c r="C34" s="6" t="s">
        <v>97</v>
      </c>
      <c r="D34" s="6" t="s">
        <v>55</v>
      </c>
      <c r="E34" s="7" t="s">
        <v>63</v>
      </c>
      <c r="F34" s="1" t="s">
        <v>6</v>
      </c>
    </row>
    <row r="35" spans="2:6" x14ac:dyDescent="0.2">
      <c r="B35" s="6">
        <v>33</v>
      </c>
      <c r="C35" s="6" t="s">
        <v>98</v>
      </c>
      <c r="D35" s="6" t="s">
        <v>55</v>
      </c>
      <c r="E35" s="7" t="s">
        <v>63</v>
      </c>
      <c r="F35" s="1" t="s">
        <v>6</v>
      </c>
    </row>
    <row r="36" spans="2:6" x14ac:dyDescent="0.2">
      <c r="B36" s="6">
        <v>34</v>
      </c>
      <c r="C36" s="6" t="s">
        <v>99</v>
      </c>
      <c r="D36" s="6" t="s">
        <v>56</v>
      </c>
      <c r="E36" s="7" t="s">
        <v>63</v>
      </c>
      <c r="F36" s="1" t="s">
        <v>6</v>
      </c>
    </row>
    <row r="37" spans="2:6" x14ac:dyDescent="0.2">
      <c r="B37" s="6">
        <v>35</v>
      </c>
      <c r="C37" s="6" t="s">
        <v>100</v>
      </c>
      <c r="D37" s="6" t="s">
        <v>56</v>
      </c>
      <c r="E37" s="7" t="s">
        <v>63</v>
      </c>
      <c r="F37" s="1" t="s">
        <v>6</v>
      </c>
    </row>
    <row r="38" spans="2:6" x14ac:dyDescent="0.2">
      <c r="B38" s="6">
        <v>36</v>
      </c>
      <c r="C38" s="6" t="s">
        <v>101</v>
      </c>
      <c r="D38" s="6" t="s">
        <v>56</v>
      </c>
      <c r="E38" s="7" t="s">
        <v>63</v>
      </c>
      <c r="F38" s="1" t="s">
        <v>6</v>
      </c>
    </row>
    <row r="39" spans="2:6" x14ac:dyDescent="0.2">
      <c r="B39" s="6">
        <v>37</v>
      </c>
      <c r="C39" s="6" t="s">
        <v>102</v>
      </c>
      <c r="D39" s="6" t="s">
        <v>56</v>
      </c>
      <c r="E39" s="7" t="s">
        <v>63</v>
      </c>
      <c r="F39" s="1" t="s">
        <v>6</v>
      </c>
    </row>
    <row r="40" spans="2:6" x14ac:dyDescent="0.2">
      <c r="B40" s="6">
        <v>38</v>
      </c>
      <c r="C40" s="6" t="s">
        <v>27</v>
      </c>
      <c r="D40" s="6" t="s">
        <v>28</v>
      </c>
      <c r="E40" s="6" t="s">
        <v>29</v>
      </c>
      <c r="F40" s="1" t="s">
        <v>6</v>
      </c>
    </row>
    <row r="41" spans="2:6" x14ac:dyDescent="0.2">
      <c r="B41" s="6">
        <v>39</v>
      </c>
      <c r="C41" s="6" t="s">
        <v>107</v>
      </c>
      <c r="D41" s="6" t="s">
        <v>28</v>
      </c>
      <c r="E41" s="6" t="s">
        <v>29</v>
      </c>
      <c r="F41" s="1" t="s">
        <v>6</v>
      </c>
    </row>
    <row r="42" spans="2:6" x14ac:dyDescent="0.2">
      <c r="B42" s="6">
        <v>40</v>
      </c>
      <c r="C42" s="6" t="s">
        <v>34</v>
      </c>
      <c r="D42" s="6" t="s">
        <v>28</v>
      </c>
      <c r="E42" s="6" t="s">
        <v>29</v>
      </c>
      <c r="F42" s="1" t="s">
        <v>6</v>
      </c>
    </row>
    <row r="43" spans="2:6" x14ac:dyDescent="0.2">
      <c r="B43" s="6">
        <v>41</v>
      </c>
      <c r="C43" s="6" t="s">
        <v>36</v>
      </c>
      <c r="D43" s="6" t="s">
        <v>32</v>
      </c>
      <c r="E43" s="6" t="s">
        <v>29</v>
      </c>
      <c r="F43" s="1" t="s">
        <v>6</v>
      </c>
    </row>
    <row r="44" spans="2:6" x14ac:dyDescent="0.2">
      <c r="B44" s="6">
        <v>42</v>
      </c>
      <c r="C44" s="6" t="s">
        <v>37</v>
      </c>
      <c r="D44" s="6" t="s">
        <v>32</v>
      </c>
      <c r="E44" s="6" t="s">
        <v>29</v>
      </c>
      <c r="F44" s="1" t="s">
        <v>6</v>
      </c>
    </row>
    <row r="45" spans="2:6" x14ac:dyDescent="0.2">
      <c r="B45" s="6">
        <v>43</v>
      </c>
      <c r="C45" s="6" t="s">
        <v>108</v>
      </c>
      <c r="D45" s="6" t="s">
        <v>32</v>
      </c>
      <c r="E45" s="6" t="s">
        <v>29</v>
      </c>
      <c r="F45" s="1" t="s">
        <v>6</v>
      </c>
    </row>
    <row r="46" spans="2:6" x14ac:dyDescent="0.2">
      <c r="B46" s="6">
        <v>44</v>
      </c>
      <c r="C46" s="6" t="s">
        <v>103</v>
      </c>
      <c r="D46" s="6" t="s">
        <v>57</v>
      </c>
      <c r="E46" s="6" t="s">
        <v>33</v>
      </c>
      <c r="F46" s="1" t="s">
        <v>6</v>
      </c>
    </row>
    <row r="47" spans="2:6" x14ac:dyDescent="0.2">
      <c r="B47" s="6">
        <v>45</v>
      </c>
      <c r="C47" s="6" t="s">
        <v>105</v>
      </c>
      <c r="D47" s="6" t="s">
        <v>57</v>
      </c>
      <c r="E47" s="6" t="s">
        <v>33</v>
      </c>
      <c r="F47" s="1" t="s">
        <v>6</v>
      </c>
    </row>
    <row r="48" spans="2:6" x14ac:dyDescent="0.2">
      <c r="B48" s="6">
        <v>46</v>
      </c>
      <c r="C48" s="6" t="s">
        <v>106</v>
      </c>
      <c r="D48" s="6" t="s">
        <v>58</v>
      </c>
      <c r="E48" s="6" t="s">
        <v>33</v>
      </c>
      <c r="F48" s="1" t="s">
        <v>6</v>
      </c>
    </row>
    <row r="49" spans="2:6" x14ac:dyDescent="0.2">
      <c r="B49" s="6">
        <v>47</v>
      </c>
      <c r="C49" s="6" t="s">
        <v>104</v>
      </c>
      <c r="D49" s="6" t="s">
        <v>58</v>
      </c>
      <c r="E49" s="6" t="s">
        <v>33</v>
      </c>
      <c r="F49" s="1" t="s">
        <v>6</v>
      </c>
    </row>
    <row r="50" spans="2:6" x14ac:dyDescent="0.2">
      <c r="B50" s="6">
        <v>48</v>
      </c>
      <c r="C50" s="6" t="s">
        <v>109</v>
      </c>
      <c r="D50" s="6" t="s">
        <v>58</v>
      </c>
      <c r="E50" s="6" t="s">
        <v>33</v>
      </c>
      <c r="F50" s="1" t="s">
        <v>6</v>
      </c>
    </row>
    <row r="51" spans="2:6" x14ac:dyDescent="0.2">
      <c r="B51" s="6">
        <v>49</v>
      </c>
      <c r="C51" s="6" t="s">
        <v>110</v>
      </c>
      <c r="D51" s="6" t="s">
        <v>59</v>
      </c>
      <c r="E51" s="6" t="s">
        <v>64</v>
      </c>
      <c r="F51" s="1" t="s">
        <v>6</v>
      </c>
    </row>
    <row r="52" spans="2:6" x14ac:dyDescent="0.2">
      <c r="B52" s="6">
        <v>50</v>
      </c>
      <c r="C52" s="6" t="s">
        <v>111</v>
      </c>
      <c r="D52" s="6" t="s">
        <v>59</v>
      </c>
      <c r="E52" s="6" t="s">
        <v>64</v>
      </c>
      <c r="F52" s="1" t="s">
        <v>6</v>
      </c>
    </row>
    <row r="53" spans="2:6" x14ac:dyDescent="0.2">
      <c r="B53" s="6">
        <v>51</v>
      </c>
      <c r="C53" s="6" t="s">
        <v>112</v>
      </c>
      <c r="D53" s="6" t="s">
        <v>59</v>
      </c>
      <c r="E53" s="6" t="s">
        <v>64</v>
      </c>
      <c r="F53" s="1" t="s">
        <v>6</v>
      </c>
    </row>
    <row r="54" spans="2:6" x14ac:dyDescent="0.2">
      <c r="B54" s="6">
        <v>52</v>
      </c>
      <c r="C54" s="6" t="s">
        <v>113</v>
      </c>
      <c r="D54" s="6" t="s">
        <v>59</v>
      </c>
      <c r="E54" s="6" t="s">
        <v>64</v>
      </c>
      <c r="F54" s="1" t="s">
        <v>6</v>
      </c>
    </row>
    <row r="55" spans="2:6" x14ac:dyDescent="0.2">
      <c r="B55" s="6">
        <v>53</v>
      </c>
      <c r="C55" s="6" t="s">
        <v>114</v>
      </c>
      <c r="D55" s="6" t="s">
        <v>60</v>
      </c>
      <c r="E55" s="6" t="s">
        <v>64</v>
      </c>
      <c r="F55" s="1" t="s">
        <v>6</v>
      </c>
    </row>
    <row r="56" spans="2:6" x14ac:dyDescent="0.2">
      <c r="B56" s="6">
        <v>54</v>
      </c>
      <c r="C56" s="6" t="s">
        <v>115</v>
      </c>
      <c r="D56" s="6" t="s">
        <v>60</v>
      </c>
      <c r="E56" s="6" t="s">
        <v>64</v>
      </c>
      <c r="F56" s="1" t="s">
        <v>6</v>
      </c>
    </row>
    <row r="57" spans="2:6" x14ac:dyDescent="0.2">
      <c r="B57" s="6">
        <v>55</v>
      </c>
      <c r="C57" s="6" t="s">
        <v>116</v>
      </c>
      <c r="D57" s="6" t="s">
        <v>60</v>
      </c>
      <c r="E57" s="6" t="s">
        <v>64</v>
      </c>
      <c r="F57" s="1" t="s">
        <v>6</v>
      </c>
    </row>
    <row r="58" spans="2:6" x14ac:dyDescent="0.2">
      <c r="B58" s="6">
        <v>56</v>
      </c>
      <c r="C58" s="6" t="s">
        <v>117</v>
      </c>
      <c r="D58" s="6" t="s">
        <v>60</v>
      </c>
      <c r="E58" s="6" t="s">
        <v>64</v>
      </c>
      <c r="F58" s="1" t="s">
        <v>6</v>
      </c>
    </row>
    <row r="59" spans="2:6" x14ac:dyDescent="0.2">
      <c r="B59" s="6">
        <v>57</v>
      </c>
      <c r="C59" s="6" t="s">
        <v>118</v>
      </c>
      <c r="D59" s="6" t="s">
        <v>60</v>
      </c>
      <c r="E59" s="6" t="s">
        <v>64</v>
      </c>
      <c r="F59" s="1" t="s">
        <v>6</v>
      </c>
    </row>
    <row r="60" spans="2:6" x14ac:dyDescent="0.2">
      <c r="B60" s="6">
        <v>58</v>
      </c>
      <c r="C60" s="6" t="s">
        <v>119</v>
      </c>
      <c r="D60" s="6" t="s">
        <v>60</v>
      </c>
      <c r="E60" s="6" t="s">
        <v>64</v>
      </c>
      <c r="F60" s="1" t="s">
        <v>6</v>
      </c>
    </row>
    <row r="61" spans="2:6" x14ac:dyDescent="0.2">
      <c r="B61" s="6">
        <v>59</v>
      </c>
      <c r="C61" s="6" t="s">
        <v>120</v>
      </c>
      <c r="D61" s="6" t="s">
        <v>60</v>
      </c>
      <c r="E61" s="6" t="s">
        <v>64</v>
      </c>
      <c r="F61" s="1" t="s">
        <v>6</v>
      </c>
    </row>
    <row r="62" spans="2:6" x14ac:dyDescent="0.2">
      <c r="B62" s="6">
        <v>60</v>
      </c>
      <c r="C62" s="6" t="s">
        <v>121</v>
      </c>
      <c r="D62" s="6" t="s">
        <v>60</v>
      </c>
      <c r="E62" s="6" t="s">
        <v>64</v>
      </c>
      <c r="F62" s="1" t="s">
        <v>6</v>
      </c>
    </row>
    <row r="63" spans="2:6" x14ac:dyDescent="0.2">
      <c r="B63" s="6">
        <v>61</v>
      </c>
      <c r="C63" s="6" t="s">
        <v>122</v>
      </c>
      <c r="D63" s="6" t="s">
        <v>65</v>
      </c>
      <c r="E63" s="6" t="s">
        <v>65</v>
      </c>
      <c r="F63" s="1" t="s">
        <v>6</v>
      </c>
    </row>
    <row r="64" spans="2:6" x14ac:dyDescent="0.2">
      <c r="B64" s="6">
        <v>62</v>
      </c>
      <c r="C64" s="1" t="s">
        <v>146</v>
      </c>
      <c r="D64" s="1" t="s">
        <v>146</v>
      </c>
      <c r="E64" s="1" t="s">
        <v>146</v>
      </c>
      <c r="F64" s="1" t="s">
        <v>389</v>
      </c>
    </row>
    <row r="65" spans="2:6" x14ac:dyDescent="0.2">
      <c r="B65" s="1"/>
      <c r="C65" s="1" t="s">
        <v>149</v>
      </c>
      <c r="D65" s="1" t="s">
        <v>149</v>
      </c>
      <c r="E65" s="1" t="s">
        <v>149</v>
      </c>
      <c r="F65" s="1" t="s">
        <v>149</v>
      </c>
    </row>
  </sheetData>
  <sheetProtection password="BC50" sheet="1" objects="1" scenarios="1"/>
  <phoneticPr fontId="3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2.様式第1号(標準型)</vt:lpstr>
      <vt:lpstr>3.様式第6～8号(標準型)</vt:lpstr>
      <vt:lpstr>リスト</vt:lpstr>
      <vt:lpstr>リスト2</vt:lpstr>
      <vt:lpstr>'1.基本データ(このシートは削除しないこと！)'!Print_Area</vt:lpstr>
      <vt:lpstr>'2.様式第1号(標準型)'!Print_Area</vt:lpstr>
      <vt:lpstr>'3.様式第6～8号(標準型)'!Print_Area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2022-04-28T01:19:11Z</cp:lastPrinted>
  <dcterms:created xsi:type="dcterms:W3CDTF">2018-06-11T09:00:18Z</dcterms:created>
  <dcterms:modified xsi:type="dcterms:W3CDTF">2022-04-28T03:41:22Z</dcterms:modified>
</cp:coreProperties>
</file>