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3.xml" ContentType="application/vnd.openxmlformats-officedocument.drawing+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5660" yWindow="450" windowWidth="15920" windowHeight="15750" tabRatio="760"/>
  </bookViews>
  <sheets>
    <sheet name="様式１" sheetId="8" r:id="rId1"/>
    <sheet name="判定" sheetId="9" state="hidden" r:id="rId2"/>
    <sheet name="様式１－１" sheetId="4" r:id="rId3"/>
    <sheet name="計算（様式1-1）" sheetId="10" state="hidden" r:id="rId4"/>
    <sheet name="様式１－２" sheetId="3" r:id="rId5"/>
    <sheet name="計算（様式1-2）" sheetId="11" state="hidden" r:id="rId6"/>
    <sheet name="補助金確認（診断）" sheetId="7" r:id="rId7"/>
    <sheet name="補助金額確認（省エネ）" sheetId="5" r:id="rId8"/>
    <sheet name="補助金額確認（ZEH）" sheetId="6" r:id="rId9"/>
  </sheets>
  <definedNames>
    <definedName name="_xlnm.Print_Area" localSheetId="7">'補助金額確認（省エネ）'!$A$1:$M$36</definedName>
    <definedName name="_xlnm.Print_Area" localSheetId="0">様式１!$A$1:$R$60</definedName>
    <definedName name="_xlnm.Print_Area" localSheetId="2">'様式１－１'!$A$1:$K$124</definedName>
    <definedName name="_xlnm.Print_Area" localSheetId="4">'様式１－２'!$A$1:$K$66</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63" i="3" l="1"/>
  <c r="D63" i="4" l="1"/>
  <c r="H65" i="4"/>
  <c r="AF90" i="11" l="1"/>
  <c r="AE90" i="11"/>
  <c r="AD90" i="11"/>
  <c r="AC90" i="11"/>
  <c r="AB90" i="11"/>
  <c r="AA90" i="11"/>
  <c r="Z90" i="11"/>
  <c r="Y90" i="11"/>
  <c r="X90" i="11"/>
  <c r="W90" i="11"/>
  <c r="V90" i="11"/>
  <c r="U90" i="11"/>
  <c r="A90" i="11"/>
  <c r="AF89" i="11"/>
  <c r="AE89" i="11"/>
  <c r="AD89" i="11"/>
  <c r="AC89" i="11"/>
  <c r="AB89" i="11"/>
  <c r="AA89" i="11"/>
  <c r="Z89" i="11"/>
  <c r="Y89" i="11"/>
  <c r="X89" i="11"/>
  <c r="W89" i="11"/>
  <c r="V89" i="11"/>
  <c r="U89" i="11"/>
  <c r="A89" i="11"/>
  <c r="AF88" i="11"/>
  <c r="AE88" i="11"/>
  <c r="AD88" i="11"/>
  <c r="AC88" i="11"/>
  <c r="AB88" i="11"/>
  <c r="AA88" i="11"/>
  <c r="Z88" i="11"/>
  <c r="Y88" i="11"/>
  <c r="X88" i="11"/>
  <c r="W88" i="11"/>
  <c r="V88" i="11"/>
  <c r="U88" i="11"/>
  <c r="A88" i="11"/>
  <c r="AF87" i="11"/>
  <c r="AE87" i="11"/>
  <c r="AD87" i="11"/>
  <c r="AC87" i="11"/>
  <c r="AB87" i="11"/>
  <c r="AA87" i="11"/>
  <c r="Z87" i="11"/>
  <c r="Y87" i="11"/>
  <c r="X87" i="11"/>
  <c r="W87" i="11"/>
  <c r="V87" i="11"/>
  <c r="U87" i="11"/>
  <c r="A87" i="11"/>
  <c r="AF86" i="11"/>
  <c r="AE86" i="11"/>
  <c r="AD86" i="11"/>
  <c r="AC86" i="11"/>
  <c r="AB86" i="11"/>
  <c r="AA86" i="11"/>
  <c r="Z86" i="11"/>
  <c r="Y86" i="11"/>
  <c r="X86" i="11"/>
  <c r="W86" i="11"/>
  <c r="V86" i="11"/>
  <c r="U86" i="11"/>
  <c r="A86" i="11"/>
  <c r="AF85" i="11"/>
  <c r="AE85" i="11"/>
  <c r="AD85" i="11"/>
  <c r="AC85" i="11"/>
  <c r="AB85" i="11"/>
  <c r="AA85" i="11"/>
  <c r="Z85" i="11"/>
  <c r="Y85" i="11"/>
  <c r="X85" i="11"/>
  <c r="W85" i="11"/>
  <c r="V85" i="11"/>
  <c r="U85" i="11"/>
  <c r="A85" i="11"/>
  <c r="AF84" i="11"/>
  <c r="AE84" i="11"/>
  <c r="AD84" i="11"/>
  <c r="AC84" i="11"/>
  <c r="AB84" i="11"/>
  <c r="AA84" i="11"/>
  <c r="Z84" i="11"/>
  <c r="Y84" i="11"/>
  <c r="X84" i="11"/>
  <c r="W84" i="11"/>
  <c r="V84" i="11"/>
  <c r="U84" i="11"/>
  <c r="A84" i="11"/>
  <c r="AF83" i="11"/>
  <c r="AE83" i="11"/>
  <c r="AD83" i="11"/>
  <c r="AC83" i="11"/>
  <c r="AB83" i="11"/>
  <c r="AA83" i="11"/>
  <c r="Z83" i="11"/>
  <c r="Y83" i="11"/>
  <c r="X83" i="11"/>
  <c r="W83" i="11"/>
  <c r="V83" i="11"/>
  <c r="U83" i="11"/>
  <c r="C83" i="11"/>
  <c r="A83" i="11"/>
  <c r="AF82" i="11"/>
  <c r="AE82" i="11"/>
  <c r="AD82" i="11"/>
  <c r="AC82" i="11"/>
  <c r="AB82" i="11"/>
  <c r="AA82" i="11"/>
  <c r="Z82" i="11"/>
  <c r="Y82" i="11"/>
  <c r="X82" i="11"/>
  <c r="W82" i="11"/>
  <c r="V82" i="11"/>
  <c r="U82" i="11"/>
  <c r="A82" i="11"/>
  <c r="AF81" i="11"/>
  <c r="AE81" i="11"/>
  <c r="AD81" i="11"/>
  <c r="AC81" i="11"/>
  <c r="AB81" i="11"/>
  <c r="AA81" i="11"/>
  <c r="Z81" i="11"/>
  <c r="Y81" i="11"/>
  <c r="X81" i="11"/>
  <c r="W81" i="11"/>
  <c r="V81" i="11"/>
  <c r="U81" i="11"/>
  <c r="A81" i="11"/>
  <c r="AF80" i="11"/>
  <c r="AE80" i="11"/>
  <c r="AD80" i="11"/>
  <c r="AC80" i="11"/>
  <c r="AB80" i="11"/>
  <c r="AA80" i="11"/>
  <c r="Z80" i="11"/>
  <c r="Y80" i="11"/>
  <c r="X80" i="11"/>
  <c r="W80" i="11"/>
  <c r="V80" i="11"/>
  <c r="U80" i="11"/>
  <c r="A80" i="11"/>
  <c r="AF79" i="11"/>
  <c r="AE79" i="11"/>
  <c r="AD79" i="11"/>
  <c r="AC79" i="11"/>
  <c r="AB79" i="11"/>
  <c r="AA79" i="11"/>
  <c r="Z79" i="11"/>
  <c r="Y79" i="11"/>
  <c r="X79" i="11"/>
  <c r="W79" i="11"/>
  <c r="V79" i="11"/>
  <c r="U79" i="11"/>
  <c r="A79" i="11"/>
  <c r="AF78" i="11"/>
  <c r="AE78" i="11"/>
  <c r="AD78" i="11"/>
  <c r="AC78" i="11"/>
  <c r="AB78" i="11"/>
  <c r="AA78" i="11"/>
  <c r="Z78" i="11"/>
  <c r="Y78" i="11"/>
  <c r="X78" i="11"/>
  <c r="W78" i="11"/>
  <c r="V78" i="11"/>
  <c r="U78" i="11"/>
  <c r="A78" i="11"/>
  <c r="AF77" i="11"/>
  <c r="AE77" i="11"/>
  <c r="AD77" i="11"/>
  <c r="AC77" i="11"/>
  <c r="AB77" i="11"/>
  <c r="AA77" i="11"/>
  <c r="Z77" i="11"/>
  <c r="Y77" i="11"/>
  <c r="X77" i="11"/>
  <c r="W77" i="11"/>
  <c r="V77" i="11"/>
  <c r="U77" i="11"/>
  <c r="A77" i="11"/>
  <c r="AF76" i="11"/>
  <c r="AE76" i="11"/>
  <c r="AD76" i="11"/>
  <c r="AC76" i="11"/>
  <c r="AB76" i="11"/>
  <c r="AA76" i="11"/>
  <c r="Z76" i="11"/>
  <c r="Y76" i="11"/>
  <c r="X76" i="11"/>
  <c r="W76" i="11"/>
  <c r="V76" i="11"/>
  <c r="U76" i="11"/>
  <c r="A76" i="11"/>
  <c r="AF75" i="11"/>
  <c r="AE75" i="11"/>
  <c r="AD75" i="11"/>
  <c r="AC75" i="11"/>
  <c r="AB75" i="11"/>
  <c r="AA75" i="11"/>
  <c r="Z75" i="11"/>
  <c r="Y75" i="11"/>
  <c r="X75" i="11"/>
  <c r="W75" i="11"/>
  <c r="V75" i="11"/>
  <c r="U75" i="11"/>
  <c r="C75" i="11"/>
  <c r="A75" i="11"/>
  <c r="AF74" i="11"/>
  <c r="AE74" i="11"/>
  <c r="AD74" i="11"/>
  <c r="AC74" i="11"/>
  <c r="AB74" i="11"/>
  <c r="AA74" i="11"/>
  <c r="Z74" i="11"/>
  <c r="Y74" i="11"/>
  <c r="X74" i="11"/>
  <c r="W74" i="11"/>
  <c r="V74" i="11"/>
  <c r="U74" i="11"/>
  <c r="A74" i="11"/>
  <c r="AF73" i="11"/>
  <c r="AE73" i="11"/>
  <c r="AD73" i="11"/>
  <c r="AC73" i="11"/>
  <c r="AB73" i="11"/>
  <c r="AA73" i="11"/>
  <c r="Z73" i="11"/>
  <c r="Y73" i="11"/>
  <c r="X73" i="11"/>
  <c r="W73" i="11"/>
  <c r="V73" i="11"/>
  <c r="U73" i="11"/>
  <c r="A73" i="11"/>
  <c r="AF72" i="11"/>
  <c r="AE72" i="11"/>
  <c r="AD72" i="11"/>
  <c r="AC72" i="11"/>
  <c r="AB72" i="11"/>
  <c r="AA72" i="11"/>
  <c r="Z72" i="11"/>
  <c r="Y72" i="11"/>
  <c r="X72" i="11"/>
  <c r="W72" i="11"/>
  <c r="V72" i="11"/>
  <c r="U72" i="11"/>
  <c r="A72" i="11"/>
  <c r="AF71" i="11"/>
  <c r="AE71" i="11"/>
  <c r="AD71" i="11"/>
  <c r="AC71" i="11"/>
  <c r="AB71" i="11"/>
  <c r="AA71" i="11"/>
  <c r="Z71" i="11"/>
  <c r="Y71" i="11"/>
  <c r="X71" i="11"/>
  <c r="W71" i="11"/>
  <c r="V71" i="11"/>
  <c r="U71" i="11"/>
  <c r="A71" i="11"/>
  <c r="AF70" i="11"/>
  <c r="AE70" i="11"/>
  <c r="AD70" i="11"/>
  <c r="AC70" i="11"/>
  <c r="AB70" i="11"/>
  <c r="AA70" i="11"/>
  <c r="Z70" i="11"/>
  <c r="Y70" i="11"/>
  <c r="X70" i="11"/>
  <c r="W70" i="11"/>
  <c r="V70" i="11"/>
  <c r="U70" i="11"/>
  <c r="A70" i="11"/>
  <c r="AF69" i="11"/>
  <c r="AE69" i="11"/>
  <c r="AD69" i="11"/>
  <c r="AC69" i="11"/>
  <c r="AB69" i="11"/>
  <c r="AA69" i="11"/>
  <c r="Z69" i="11"/>
  <c r="Y69" i="11"/>
  <c r="X69" i="11"/>
  <c r="W69" i="11"/>
  <c r="V69" i="11"/>
  <c r="U69" i="11"/>
  <c r="A69" i="11"/>
  <c r="AF68" i="11"/>
  <c r="AE68" i="11"/>
  <c r="AD68" i="11"/>
  <c r="AC68" i="11"/>
  <c r="AB68" i="11"/>
  <c r="AA68" i="11"/>
  <c r="Z68" i="11"/>
  <c r="Y68" i="11"/>
  <c r="X68" i="11"/>
  <c r="W68" i="11"/>
  <c r="V68" i="11"/>
  <c r="U68" i="11"/>
  <c r="A68" i="11"/>
  <c r="AF67" i="11"/>
  <c r="AE67" i="11"/>
  <c r="AD67" i="11"/>
  <c r="AC67" i="11"/>
  <c r="AB67" i="11"/>
  <c r="AA67" i="11"/>
  <c r="Z67" i="11"/>
  <c r="Y67" i="11"/>
  <c r="X67" i="11"/>
  <c r="W67" i="11"/>
  <c r="V67" i="11"/>
  <c r="U67" i="11"/>
  <c r="C67" i="11"/>
  <c r="A67" i="11"/>
  <c r="AF66" i="11"/>
  <c r="AE66" i="11"/>
  <c r="AD66" i="11"/>
  <c r="AC66" i="11"/>
  <c r="AB66" i="11"/>
  <c r="AA66" i="11"/>
  <c r="Z66" i="11"/>
  <c r="Y66" i="11"/>
  <c r="X66" i="11"/>
  <c r="W66" i="11"/>
  <c r="V66" i="11"/>
  <c r="U66" i="11"/>
  <c r="A66" i="11"/>
  <c r="AF65" i="11"/>
  <c r="AE65" i="11"/>
  <c r="AD65" i="11"/>
  <c r="AC65" i="11"/>
  <c r="AB65" i="11"/>
  <c r="AA65" i="11"/>
  <c r="Z65" i="11"/>
  <c r="Y65" i="11"/>
  <c r="X65" i="11"/>
  <c r="W65" i="11"/>
  <c r="V65" i="11"/>
  <c r="U65" i="11"/>
  <c r="A65" i="11"/>
  <c r="AF64" i="11"/>
  <c r="AE64" i="11"/>
  <c r="AD64" i="11"/>
  <c r="AC64" i="11"/>
  <c r="AB64" i="11"/>
  <c r="AA64" i="11"/>
  <c r="Z64" i="11"/>
  <c r="Y64" i="11"/>
  <c r="X64" i="11"/>
  <c r="W64" i="11"/>
  <c r="V64" i="11"/>
  <c r="U64" i="11"/>
  <c r="A64" i="11"/>
  <c r="AF63" i="11"/>
  <c r="AE63" i="11"/>
  <c r="AD63" i="11"/>
  <c r="AC63" i="11"/>
  <c r="AB63" i="11"/>
  <c r="AA63" i="11"/>
  <c r="Z63" i="11"/>
  <c r="Y63" i="11"/>
  <c r="X63" i="11"/>
  <c r="W63" i="11"/>
  <c r="V63" i="11"/>
  <c r="U63" i="11"/>
  <c r="A63" i="11"/>
  <c r="AF62" i="11"/>
  <c r="AE62" i="11"/>
  <c r="AD62" i="11"/>
  <c r="AC62" i="11"/>
  <c r="AB62" i="11"/>
  <c r="AA62" i="11"/>
  <c r="Z62" i="11"/>
  <c r="Y62" i="11"/>
  <c r="X62" i="11"/>
  <c r="W62" i="11"/>
  <c r="V62" i="11"/>
  <c r="U62" i="11"/>
  <c r="A62" i="11"/>
  <c r="AF61" i="11"/>
  <c r="AE61" i="11"/>
  <c r="AD61" i="11"/>
  <c r="AC61" i="11"/>
  <c r="AB61" i="11"/>
  <c r="AA61" i="11"/>
  <c r="Z61" i="11"/>
  <c r="Y61" i="11"/>
  <c r="X61" i="11"/>
  <c r="W61" i="11"/>
  <c r="V61" i="11"/>
  <c r="U61" i="11"/>
  <c r="A61" i="11"/>
  <c r="AF60" i="11"/>
  <c r="AE60" i="11"/>
  <c r="AD60" i="11"/>
  <c r="AC60" i="11"/>
  <c r="AB60" i="11"/>
  <c r="AA60" i="11"/>
  <c r="Z60" i="11"/>
  <c r="Y60" i="11"/>
  <c r="X60" i="11"/>
  <c r="W60" i="11"/>
  <c r="V60" i="11"/>
  <c r="U60" i="11"/>
  <c r="A60" i="11"/>
  <c r="AF59" i="11"/>
  <c r="AE59" i="11"/>
  <c r="AD59" i="11"/>
  <c r="AC59" i="11"/>
  <c r="AB59" i="11"/>
  <c r="AA59" i="11"/>
  <c r="Z59" i="11"/>
  <c r="Y59" i="11"/>
  <c r="X59" i="11"/>
  <c r="W59" i="11"/>
  <c r="V59" i="11"/>
  <c r="U59" i="11"/>
  <c r="C59" i="11"/>
  <c r="A59" i="11"/>
  <c r="AF58" i="11"/>
  <c r="AE58" i="11"/>
  <c r="AD58" i="11"/>
  <c r="AC58" i="11"/>
  <c r="AB58" i="11"/>
  <c r="AA58" i="11"/>
  <c r="Z58" i="11"/>
  <c r="Y58" i="11"/>
  <c r="X58" i="11"/>
  <c r="W58" i="11"/>
  <c r="V58" i="11"/>
  <c r="U58" i="11"/>
  <c r="A58" i="11"/>
  <c r="AF57" i="11"/>
  <c r="AE57" i="11"/>
  <c r="AD57" i="11"/>
  <c r="AC57" i="11"/>
  <c r="AB57" i="11"/>
  <c r="AA57" i="11"/>
  <c r="Z57" i="11"/>
  <c r="Y57" i="11"/>
  <c r="X57" i="11"/>
  <c r="W57" i="11"/>
  <c r="V57" i="11"/>
  <c r="U57" i="11"/>
  <c r="A57" i="11"/>
  <c r="AF56" i="11"/>
  <c r="AE56" i="11"/>
  <c r="AD56" i="11"/>
  <c r="AC56" i="11"/>
  <c r="AB56" i="11"/>
  <c r="AA56" i="11"/>
  <c r="Z56" i="11"/>
  <c r="Y56" i="11"/>
  <c r="X56" i="11"/>
  <c r="W56" i="11"/>
  <c r="V56" i="11"/>
  <c r="U56" i="11"/>
  <c r="A56" i="11"/>
  <c r="AF55" i="11"/>
  <c r="AE55" i="11"/>
  <c r="AD55" i="11"/>
  <c r="AC55" i="11"/>
  <c r="AB55" i="11"/>
  <c r="AA55" i="11"/>
  <c r="Z55" i="11"/>
  <c r="Y55" i="11"/>
  <c r="X55" i="11"/>
  <c r="W55" i="11"/>
  <c r="V55" i="11"/>
  <c r="U55" i="11"/>
  <c r="A55" i="11"/>
  <c r="AF54" i="11"/>
  <c r="AE54" i="11"/>
  <c r="AD54" i="11"/>
  <c r="AC54" i="11"/>
  <c r="AB54" i="11"/>
  <c r="AA54" i="11"/>
  <c r="Z54" i="11"/>
  <c r="Y54" i="11"/>
  <c r="X54" i="11"/>
  <c r="W54" i="11"/>
  <c r="V54" i="11"/>
  <c r="U54" i="11"/>
  <c r="A54" i="11"/>
  <c r="AF53" i="11"/>
  <c r="AE53" i="11"/>
  <c r="AD53" i="11"/>
  <c r="AC53" i="11"/>
  <c r="AB53" i="11"/>
  <c r="AA53" i="11"/>
  <c r="Z53" i="11"/>
  <c r="Y53" i="11"/>
  <c r="X53" i="11"/>
  <c r="W53" i="11"/>
  <c r="V53" i="11"/>
  <c r="U53" i="11"/>
  <c r="A53" i="11"/>
  <c r="AF52" i="11"/>
  <c r="AE52" i="11"/>
  <c r="AD52" i="11"/>
  <c r="AC52" i="11"/>
  <c r="AB52" i="11"/>
  <c r="AA52" i="11"/>
  <c r="Z52" i="11"/>
  <c r="Y52" i="11"/>
  <c r="X52" i="11"/>
  <c r="W52" i="11"/>
  <c r="V52" i="11"/>
  <c r="U52" i="11"/>
  <c r="A52" i="11"/>
  <c r="AF51" i="11"/>
  <c r="AE51" i="11"/>
  <c r="AD51" i="11"/>
  <c r="AC51" i="11"/>
  <c r="AB51" i="11"/>
  <c r="AA51" i="11"/>
  <c r="Z51" i="11"/>
  <c r="Y51" i="11"/>
  <c r="X51" i="11"/>
  <c r="W51" i="11"/>
  <c r="V51" i="11"/>
  <c r="U51" i="11"/>
  <c r="C51" i="11"/>
  <c r="A51" i="11"/>
  <c r="AF50" i="11"/>
  <c r="AE50" i="11"/>
  <c r="AD50" i="11"/>
  <c r="AC50" i="11"/>
  <c r="AB50" i="11"/>
  <c r="AA50" i="11"/>
  <c r="Z50" i="11"/>
  <c r="Y50" i="11"/>
  <c r="X50" i="11"/>
  <c r="W50" i="11"/>
  <c r="V50" i="11"/>
  <c r="U50" i="11"/>
  <c r="A50" i="11"/>
  <c r="AF49" i="11"/>
  <c r="AE49" i="11"/>
  <c r="AD49" i="11"/>
  <c r="AC49" i="11"/>
  <c r="AB49" i="11"/>
  <c r="AA49" i="11"/>
  <c r="Z49" i="11"/>
  <c r="Y49" i="11"/>
  <c r="X49" i="11"/>
  <c r="W49" i="11"/>
  <c r="V49" i="11"/>
  <c r="U49" i="11"/>
  <c r="A49" i="11"/>
  <c r="AF48" i="11"/>
  <c r="AE48" i="11"/>
  <c r="AD48" i="11"/>
  <c r="AC48" i="11"/>
  <c r="AB48" i="11"/>
  <c r="AA48" i="11"/>
  <c r="Z48" i="11"/>
  <c r="Y48" i="11"/>
  <c r="X48" i="11"/>
  <c r="W48" i="11"/>
  <c r="V48" i="11"/>
  <c r="U48" i="11"/>
  <c r="A48" i="11"/>
  <c r="AF47" i="11"/>
  <c r="AE47" i="11"/>
  <c r="AD47" i="11"/>
  <c r="AC47" i="11"/>
  <c r="AB47" i="11"/>
  <c r="AA47" i="11"/>
  <c r="Z47" i="11"/>
  <c r="Y47" i="11"/>
  <c r="X47" i="11"/>
  <c r="W47" i="11"/>
  <c r="V47" i="11"/>
  <c r="U47" i="11"/>
  <c r="A47" i="11"/>
  <c r="AF46" i="11"/>
  <c r="AE46" i="11"/>
  <c r="AD46" i="11"/>
  <c r="AC46" i="11"/>
  <c r="AB46" i="11"/>
  <c r="AA46" i="11"/>
  <c r="Z46" i="11"/>
  <c r="Y46" i="11"/>
  <c r="X46" i="11"/>
  <c r="W46" i="11"/>
  <c r="V46" i="11"/>
  <c r="U46" i="11"/>
  <c r="A46" i="11"/>
  <c r="AF45" i="11"/>
  <c r="AE45" i="11"/>
  <c r="AD45" i="11"/>
  <c r="AC45" i="11"/>
  <c r="AB45" i="11"/>
  <c r="AA45" i="11"/>
  <c r="Z45" i="11"/>
  <c r="Y45" i="11"/>
  <c r="X45" i="11"/>
  <c r="W45" i="11"/>
  <c r="V45" i="11"/>
  <c r="U45" i="11"/>
  <c r="A45" i="11"/>
  <c r="AF44" i="11"/>
  <c r="AE44" i="11"/>
  <c r="AD44" i="11"/>
  <c r="AC44" i="11"/>
  <c r="AB44" i="11"/>
  <c r="AA44" i="11"/>
  <c r="Z44" i="11"/>
  <c r="Y44" i="11"/>
  <c r="X44" i="11"/>
  <c r="W44" i="11"/>
  <c r="V44" i="11"/>
  <c r="U44" i="11"/>
  <c r="A44" i="11"/>
  <c r="AF43" i="11"/>
  <c r="AE43" i="11"/>
  <c r="AD43" i="11"/>
  <c r="AC43" i="11"/>
  <c r="AB43" i="11"/>
  <c r="AA43" i="11"/>
  <c r="Z43" i="11"/>
  <c r="Y43" i="11"/>
  <c r="X43" i="11"/>
  <c r="W43" i="11"/>
  <c r="V43" i="11"/>
  <c r="U43" i="11"/>
  <c r="C43" i="11"/>
  <c r="A43" i="11"/>
  <c r="J39" i="11"/>
  <c r="AC36" i="11"/>
  <c r="AB36" i="11"/>
  <c r="AA36" i="11"/>
  <c r="Y36" i="11"/>
  <c r="X36" i="11"/>
  <c r="W36" i="11"/>
  <c r="U36" i="11"/>
  <c r="T36" i="11"/>
  <c r="S36" i="11"/>
  <c r="Q36" i="11"/>
  <c r="P36" i="11"/>
  <c r="O36" i="11"/>
  <c r="M36" i="11"/>
  <c r="L36" i="11"/>
  <c r="K36" i="11"/>
  <c r="I36" i="11"/>
  <c r="H36" i="11"/>
  <c r="G36" i="11"/>
  <c r="E36" i="11"/>
  <c r="D36" i="11"/>
  <c r="C36" i="11"/>
  <c r="AC35" i="11"/>
  <c r="AB35" i="11"/>
  <c r="AA35" i="11"/>
  <c r="Y35" i="11"/>
  <c r="X35" i="11"/>
  <c r="W35" i="11"/>
  <c r="U35" i="11"/>
  <c r="T35" i="11"/>
  <c r="S35" i="11"/>
  <c r="Q35" i="11"/>
  <c r="P35" i="11"/>
  <c r="O35" i="11"/>
  <c r="M35" i="11"/>
  <c r="L35" i="11"/>
  <c r="K35" i="11"/>
  <c r="I35" i="11"/>
  <c r="H35" i="11"/>
  <c r="G35" i="11"/>
  <c r="E35" i="11"/>
  <c r="D35" i="11"/>
  <c r="C35" i="11"/>
  <c r="AC34" i="11"/>
  <c r="AB34" i="11"/>
  <c r="AA34" i="11"/>
  <c r="Y34" i="11"/>
  <c r="X34" i="11"/>
  <c r="W34" i="11"/>
  <c r="U34" i="11"/>
  <c r="T34" i="11"/>
  <c r="S34" i="11"/>
  <c r="Q34" i="11"/>
  <c r="P34" i="11"/>
  <c r="O34" i="11"/>
  <c r="M34" i="11"/>
  <c r="L34" i="11"/>
  <c r="K34" i="11"/>
  <c r="I34" i="11"/>
  <c r="H34" i="11"/>
  <c r="G34" i="11"/>
  <c r="E34" i="11"/>
  <c r="D34" i="11"/>
  <c r="C34" i="11"/>
  <c r="AC33" i="11"/>
  <c r="AB33" i="11"/>
  <c r="AA33" i="11"/>
  <c r="Y33" i="11"/>
  <c r="X33" i="11"/>
  <c r="W33" i="11"/>
  <c r="U33" i="11"/>
  <c r="T33" i="11"/>
  <c r="S33" i="11"/>
  <c r="Q33" i="11"/>
  <c r="P33" i="11"/>
  <c r="O33" i="11"/>
  <c r="M33" i="11"/>
  <c r="L33" i="11"/>
  <c r="K33" i="11"/>
  <c r="I33" i="11"/>
  <c r="H33" i="11"/>
  <c r="G33" i="11"/>
  <c r="E33" i="11"/>
  <c r="D33" i="11"/>
  <c r="C33" i="11"/>
  <c r="AK29" i="11"/>
  <c r="AJ29" i="11"/>
  <c r="AI29" i="11"/>
  <c r="AH29" i="11"/>
  <c r="AG29" i="11"/>
  <c r="AF29" i="11"/>
  <c r="AE29" i="11"/>
  <c r="AD29" i="11"/>
  <c r="AC29" i="11"/>
  <c r="AB29" i="11"/>
  <c r="AA29" i="11"/>
  <c r="Z29" i="11"/>
  <c r="A29" i="11"/>
  <c r="AK28" i="11"/>
  <c r="AJ28" i="11"/>
  <c r="AI28" i="11"/>
  <c r="AH28" i="11"/>
  <c r="AG28" i="11"/>
  <c r="AF28" i="11"/>
  <c r="AE28" i="11"/>
  <c r="AD28" i="11"/>
  <c r="AC28" i="11"/>
  <c r="AB28" i="11"/>
  <c r="AA28" i="11"/>
  <c r="Z28" i="11"/>
  <c r="A28" i="11"/>
  <c r="AK27" i="11"/>
  <c r="AJ27" i="11"/>
  <c r="AI27" i="11"/>
  <c r="AH27" i="11"/>
  <c r="AG27" i="11"/>
  <c r="AF27" i="11"/>
  <c r="AE27" i="11"/>
  <c r="AD27" i="11"/>
  <c r="AC27" i="11"/>
  <c r="AB27" i="11"/>
  <c r="AA27" i="11"/>
  <c r="Z27" i="11"/>
  <c r="A27" i="11"/>
  <c r="AK26" i="11"/>
  <c r="AJ26" i="11"/>
  <c r="AI26" i="11"/>
  <c r="AH26" i="11"/>
  <c r="AG26" i="11"/>
  <c r="AF26" i="11"/>
  <c r="AE26" i="11"/>
  <c r="AD26" i="11"/>
  <c r="AC26" i="11"/>
  <c r="AB26" i="11"/>
  <c r="AA26" i="11"/>
  <c r="Z26" i="11"/>
  <c r="A26" i="11"/>
  <c r="AK25" i="11"/>
  <c r="AJ25" i="11"/>
  <c r="AI25" i="11"/>
  <c r="AH25" i="11"/>
  <c r="AG25" i="11"/>
  <c r="AF25" i="11"/>
  <c r="AE25" i="11"/>
  <c r="AD25" i="11"/>
  <c r="AC25" i="11"/>
  <c r="AB25" i="11"/>
  <c r="AA25" i="11"/>
  <c r="Z25" i="11"/>
  <c r="A25" i="11"/>
  <c r="AK24" i="11"/>
  <c r="AJ24" i="11"/>
  <c r="AI24" i="11"/>
  <c r="AH24" i="11"/>
  <c r="AG24" i="11"/>
  <c r="AF24" i="11"/>
  <c r="AE24" i="11"/>
  <c r="AD24" i="11"/>
  <c r="AC24" i="11"/>
  <c r="AB24" i="11"/>
  <c r="AA24" i="11"/>
  <c r="Z24" i="11"/>
  <c r="A24" i="11"/>
  <c r="AK23" i="11"/>
  <c r="AJ23" i="11"/>
  <c r="AI23" i="11"/>
  <c r="AH23" i="11"/>
  <c r="AG23" i="11"/>
  <c r="AF23" i="11"/>
  <c r="AE23" i="11"/>
  <c r="AD23" i="11"/>
  <c r="AC23" i="11"/>
  <c r="AB23" i="11"/>
  <c r="AA23" i="11"/>
  <c r="Z23" i="11"/>
  <c r="A23" i="11"/>
  <c r="AK22" i="11"/>
  <c r="AJ22" i="11"/>
  <c r="AI22" i="11"/>
  <c r="AH22" i="11"/>
  <c r="AG22" i="11"/>
  <c r="AF22" i="11"/>
  <c r="AE22" i="11"/>
  <c r="AD22" i="11"/>
  <c r="AC22" i="11"/>
  <c r="AB22" i="11"/>
  <c r="AA22" i="11"/>
  <c r="Z22" i="11"/>
  <c r="A22" i="11"/>
  <c r="AK21" i="11"/>
  <c r="AJ21" i="11"/>
  <c r="AI21" i="11"/>
  <c r="AH21" i="11"/>
  <c r="AG21" i="11"/>
  <c r="AF21" i="11"/>
  <c r="AE21" i="11"/>
  <c r="AD21" i="11"/>
  <c r="AC21" i="11"/>
  <c r="AB21" i="11"/>
  <c r="AA21" i="11"/>
  <c r="Z21" i="11"/>
  <c r="A21" i="11"/>
  <c r="AK20" i="11"/>
  <c r="AJ20" i="11"/>
  <c r="AI20" i="11"/>
  <c r="AH20" i="11"/>
  <c r="AG20" i="11"/>
  <c r="AF20" i="11"/>
  <c r="AE20" i="11"/>
  <c r="AD20" i="11"/>
  <c r="AC20" i="11"/>
  <c r="AB20" i="11"/>
  <c r="AA20" i="11"/>
  <c r="Z20" i="11"/>
  <c r="A20" i="11"/>
  <c r="AK19" i="11"/>
  <c r="AJ19" i="11"/>
  <c r="AI19" i="11"/>
  <c r="AH19" i="11"/>
  <c r="AG19" i="11"/>
  <c r="AF19" i="11"/>
  <c r="AE19" i="11"/>
  <c r="AD19" i="11"/>
  <c r="AC19" i="11"/>
  <c r="AB19" i="11"/>
  <c r="AA19" i="11"/>
  <c r="Z19" i="11"/>
  <c r="A19" i="11"/>
  <c r="AK18" i="11"/>
  <c r="AJ18" i="11"/>
  <c r="AI18" i="11"/>
  <c r="AH18" i="11"/>
  <c r="AG18" i="11"/>
  <c r="AF18" i="11"/>
  <c r="AE18" i="11"/>
  <c r="AD18" i="11"/>
  <c r="AC18" i="11"/>
  <c r="AB18" i="11"/>
  <c r="AA18" i="11"/>
  <c r="Z18" i="11"/>
  <c r="A18" i="11"/>
  <c r="AK17" i="11"/>
  <c r="AJ17" i="11"/>
  <c r="AI17" i="11"/>
  <c r="AH17" i="11"/>
  <c r="AG17" i="11"/>
  <c r="AF17" i="11"/>
  <c r="AE17" i="11"/>
  <c r="AD17" i="11"/>
  <c r="AC17" i="11"/>
  <c r="AB17" i="11"/>
  <c r="AA17" i="11"/>
  <c r="Z17" i="11"/>
  <c r="A17" i="11"/>
  <c r="AK16" i="11"/>
  <c r="AJ16" i="11"/>
  <c r="AI16" i="11"/>
  <c r="AH16" i="11"/>
  <c r="AG16" i="11"/>
  <c r="AF16" i="11"/>
  <c r="AE16" i="11"/>
  <c r="AD16" i="11"/>
  <c r="AC16" i="11"/>
  <c r="AB16" i="11"/>
  <c r="AA16" i="11"/>
  <c r="Z16" i="11"/>
  <c r="A16" i="11"/>
  <c r="AK15" i="11"/>
  <c r="AJ15" i="11"/>
  <c r="AI15" i="11"/>
  <c r="AH15" i="11"/>
  <c r="AG15" i="11"/>
  <c r="AF15" i="11"/>
  <c r="AE15" i="11"/>
  <c r="AD15" i="11"/>
  <c r="AC15" i="11"/>
  <c r="AB15" i="11"/>
  <c r="AA15" i="11"/>
  <c r="Z15" i="11"/>
  <c r="A15" i="11"/>
  <c r="AK14" i="11"/>
  <c r="AJ14" i="11"/>
  <c r="AI14" i="11"/>
  <c r="AH14" i="11"/>
  <c r="AG14" i="11"/>
  <c r="AF14" i="11"/>
  <c r="AE14" i="11"/>
  <c r="AD14" i="11"/>
  <c r="AC14" i="11"/>
  <c r="AB14" i="11"/>
  <c r="AA14" i="11"/>
  <c r="Z14" i="11"/>
  <c r="A14" i="11"/>
  <c r="AK13" i="11"/>
  <c r="AJ13" i="11"/>
  <c r="AI13" i="11"/>
  <c r="AH13" i="11"/>
  <c r="AG13" i="11"/>
  <c r="AF13" i="11"/>
  <c r="AE13" i="11"/>
  <c r="AD13" i="11"/>
  <c r="AC13" i="11"/>
  <c r="AB13" i="11"/>
  <c r="AA13" i="11"/>
  <c r="Z13" i="11"/>
  <c r="A13" i="11"/>
  <c r="AK12" i="11"/>
  <c r="AJ12" i="11"/>
  <c r="AI12" i="11"/>
  <c r="AH12" i="11"/>
  <c r="AG12" i="11"/>
  <c r="AF12" i="11"/>
  <c r="AE12" i="11"/>
  <c r="AD12" i="11"/>
  <c r="AC12" i="11"/>
  <c r="AB12" i="11"/>
  <c r="AA12" i="11"/>
  <c r="Z12" i="11"/>
  <c r="A12" i="11"/>
  <c r="AK11" i="11"/>
  <c r="AJ11" i="11"/>
  <c r="AI11" i="11"/>
  <c r="AH11" i="11"/>
  <c r="AG11" i="11"/>
  <c r="AF11" i="11"/>
  <c r="AE11" i="11"/>
  <c r="AD11" i="11"/>
  <c r="AC11" i="11"/>
  <c r="AB11" i="11"/>
  <c r="AA11" i="11"/>
  <c r="Z11" i="11"/>
  <c r="A11" i="11"/>
  <c r="AK10" i="11"/>
  <c r="AJ10" i="11"/>
  <c r="AI10" i="11"/>
  <c r="AH10" i="11"/>
  <c r="AG10" i="11"/>
  <c r="AF10" i="11"/>
  <c r="AE10" i="11"/>
  <c r="AD10" i="11"/>
  <c r="AC10" i="11"/>
  <c r="AB10" i="11"/>
  <c r="AA10" i="11"/>
  <c r="Z10" i="11"/>
  <c r="A10" i="11"/>
  <c r="AK9" i="11"/>
  <c r="AJ9" i="11"/>
  <c r="AI9" i="11"/>
  <c r="AH9" i="11"/>
  <c r="AG9" i="11"/>
  <c r="AF9" i="11"/>
  <c r="AE9" i="11"/>
  <c r="AD9" i="11"/>
  <c r="AC9" i="11"/>
  <c r="AB9" i="11"/>
  <c r="AA9" i="11"/>
  <c r="Z9" i="11"/>
  <c r="A9" i="11"/>
  <c r="AK8" i="11"/>
  <c r="AJ8" i="11"/>
  <c r="AI8" i="11"/>
  <c r="AH8" i="11"/>
  <c r="AG8" i="11"/>
  <c r="AF8" i="11"/>
  <c r="AE8" i="11"/>
  <c r="AD8" i="11"/>
  <c r="AC8" i="11"/>
  <c r="AB8" i="11"/>
  <c r="AA8" i="11"/>
  <c r="Z8" i="11"/>
  <c r="A8" i="11"/>
  <c r="AK7" i="11"/>
  <c r="AJ7" i="11"/>
  <c r="AI7" i="11"/>
  <c r="AH7" i="11"/>
  <c r="AG7" i="11"/>
  <c r="AF7" i="11"/>
  <c r="AE7" i="11"/>
  <c r="AD7" i="11"/>
  <c r="AC7" i="11"/>
  <c r="AB7" i="11"/>
  <c r="AA7" i="11"/>
  <c r="Z7" i="11"/>
  <c r="A7" i="11"/>
  <c r="AK6" i="11"/>
  <c r="AJ6" i="11"/>
  <c r="AI6" i="11"/>
  <c r="AH6" i="11"/>
  <c r="AG6" i="11"/>
  <c r="AF6" i="11"/>
  <c r="AE6" i="11"/>
  <c r="AD6" i="11"/>
  <c r="AC6" i="11"/>
  <c r="AB6" i="11"/>
  <c r="AA6" i="11"/>
  <c r="Z6" i="11"/>
  <c r="A6" i="11"/>
  <c r="A134" i="10"/>
  <c r="A133" i="10"/>
  <c r="A132" i="10"/>
  <c r="A131" i="10"/>
  <c r="A130" i="10"/>
  <c r="A129" i="10"/>
  <c r="C128" i="10"/>
  <c r="A128" i="10"/>
  <c r="A127" i="10"/>
  <c r="A126" i="10"/>
  <c r="A125" i="10"/>
  <c r="A124" i="10"/>
  <c r="A123" i="10"/>
  <c r="A122" i="10"/>
  <c r="A121" i="10"/>
  <c r="C120" i="10"/>
  <c r="A120" i="10"/>
  <c r="A119" i="10"/>
  <c r="A118" i="10"/>
  <c r="A117" i="10"/>
  <c r="A116" i="10"/>
  <c r="A115" i="10"/>
  <c r="A114" i="10"/>
  <c r="A113" i="10"/>
  <c r="C112" i="10"/>
  <c r="A112" i="10"/>
  <c r="A111" i="10"/>
  <c r="A110" i="10"/>
  <c r="A109" i="10"/>
  <c r="A108" i="10"/>
  <c r="A107" i="10"/>
  <c r="A106" i="10"/>
  <c r="A105" i="10"/>
  <c r="C104"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I67" i="10"/>
  <c r="AK64" i="10"/>
  <c r="AJ64" i="10"/>
  <c r="AI64" i="10"/>
  <c r="AG64" i="10"/>
  <c r="AF64" i="10"/>
  <c r="AE64" i="10"/>
  <c r="AC64" i="10"/>
  <c r="AB64" i="10"/>
  <c r="AA64" i="10"/>
  <c r="Y64" i="10"/>
  <c r="X64" i="10"/>
  <c r="W64" i="10"/>
  <c r="U64" i="10"/>
  <c r="T64" i="10"/>
  <c r="S64" i="10"/>
  <c r="Q64" i="10"/>
  <c r="P64" i="10"/>
  <c r="O64" i="10"/>
  <c r="M64" i="10"/>
  <c r="L64" i="10"/>
  <c r="K64" i="10"/>
  <c r="I64" i="10"/>
  <c r="H64" i="10"/>
  <c r="G64" i="10"/>
  <c r="E64" i="10"/>
  <c r="D64" i="10"/>
  <c r="C64" i="10"/>
  <c r="AK63" i="10"/>
  <c r="AJ63" i="10"/>
  <c r="AI63" i="10"/>
  <c r="AG63" i="10"/>
  <c r="AF63" i="10"/>
  <c r="AE63" i="10"/>
  <c r="AC63" i="10"/>
  <c r="AB63" i="10"/>
  <c r="AA63" i="10"/>
  <c r="Y63" i="10"/>
  <c r="X63" i="10"/>
  <c r="W63" i="10"/>
  <c r="U63" i="10"/>
  <c r="T63" i="10"/>
  <c r="S63" i="10"/>
  <c r="Q63" i="10"/>
  <c r="P63" i="10"/>
  <c r="O63" i="10"/>
  <c r="M63" i="10"/>
  <c r="L63" i="10"/>
  <c r="K63" i="10"/>
  <c r="I63" i="10"/>
  <c r="H63" i="10"/>
  <c r="G63" i="10"/>
  <c r="E63" i="10"/>
  <c r="D63" i="10"/>
  <c r="C63" i="10"/>
  <c r="AK62" i="10"/>
  <c r="AJ62" i="10"/>
  <c r="AI62" i="10"/>
  <c r="AG62" i="10"/>
  <c r="AF62" i="10"/>
  <c r="AE62" i="10"/>
  <c r="AC62" i="10"/>
  <c r="AB62" i="10"/>
  <c r="AA62" i="10"/>
  <c r="Y62" i="10"/>
  <c r="X62" i="10"/>
  <c r="W62" i="10"/>
  <c r="U62" i="10"/>
  <c r="T62" i="10"/>
  <c r="S62" i="10"/>
  <c r="Q62" i="10"/>
  <c r="P62" i="10"/>
  <c r="O62" i="10"/>
  <c r="M62" i="10"/>
  <c r="L62" i="10"/>
  <c r="K62" i="10"/>
  <c r="I62" i="10"/>
  <c r="H62" i="10"/>
  <c r="G62" i="10"/>
  <c r="E62" i="10"/>
  <c r="D62" i="10"/>
  <c r="C62" i="10"/>
  <c r="AK61" i="10"/>
  <c r="AJ61" i="10"/>
  <c r="AI61" i="10"/>
  <c r="AG61" i="10"/>
  <c r="AF61" i="10"/>
  <c r="AE61" i="10"/>
  <c r="AC61" i="10"/>
  <c r="AB61" i="10"/>
  <c r="AA61" i="10"/>
  <c r="Y61" i="10"/>
  <c r="X61" i="10"/>
  <c r="W61" i="10"/>
  <c r="U61" i="10"/>
  <c r="T61" i="10"/>
  <c r="S61" i="10"/>
  <c r="Q61" i="10"/>
  <c r="P61" i="10"/>
  <c r="O61" i="10"/>
  <c r="M61" i="10"/>
  <c r="L61" i="10"/>
  <c r="K61" i="10"/>
  <c r="I61" i="10"/>
  <c r="H61" i="10"/>
  <c r="G61" i="10"/>
  <c r="E61" i="10"/>
  <c r="D61" i="10"/>
  <c r="C61" i="10"/>
  <c r="AF55" i="10"/>
  <c r="AB55" i="10"/>
  <c r="AA55" i="10"/>
  <c r="Z55" i="10"/>
  <c r="Y55" i="10"/>
  <c r="X55" i="10"/>
  <c r="A55" i="10"/>
  <c r="AF54" i="10"/>
  <c r="AB54" i="10"/>
  <c r="AA54" i="10"/>
  <c r="Z54" i="10"/>
  <c r="Y54" i="10"/>
  <c r="X54" i="10"/>
  <c r="U54" i="10"/>
  <c r="AG54" i="10" s="1"/>
  <c r="A54" i="10"/>
  <c r="AF53" i="10"/>
  <c r="AB53" i="10"/>
  <c r="AA53" i="10"/>
  <c r="Z53" i="10"/>
  <c r="Y53" i="10"/>
  <c r="X53" i="10"/>
  <c r="A53" i="10"/>
  <c r="AF52" i="10"/>
  <c r="AB52" i="10"/>
  <c r="AA52" i="10"/>
  <c r="Z52" i="10"/>
  <c r="Y52" i="10"/>
  <c r="X52" i="10"/>
  <c r="R52" i="10"/>
  <c r="AD52" i="10" s="1"/>
  <c r="A52" i="10"/>
  <c r="AF51" i="10"/>
  <c r="AB51" i="10"/>
  <c r="AA51" i="10"/>
  <c r="Z51" i="10"/>
  <c r="Y51" i="10"/>
  <c r="X51" i="10"/>
  <c r="V51" i="10"/>
  <c r="AH51" i="10" s="1"/>
  <c r="A51" i="10"/>
  <c r="AF50" i="10"/>
  <c r="AB50" i="10"/>
  <c r="AA50" i="10"/>
  <c r="Z50" i="10"/>
  <c r="Y50" i="10"/>
  <c r="X50" i="10"/>
  <c r="A50" i="10"/>
  <c r="AF49" i="10"/>
  <c r="AB49" i="10"/>
  <c r="AA49" i="10"/>
  <c r="Z49" i="10"/>
  <c r="Y49" i="10"/>
  <c r="X49" i="10"/>
  <c r="S49" i="10"/>
  <c r="AE49" i="10" s="1"/>
  <c r="A49" i="10"/>
  <c r="AI48" i="10"/>
  <c r="AH48" i="10"/>
  <c r="AG48" i="10"/>
  <c r="AF48" i="10"/>
  <c r="AE48" i="10"/>
  <c r="AD48" i="10"/>
  <c r="AC48" i="10"/>
  <c r="AB48" i="10"/>
  <c r="X48" i="10"/>
  <c r="O48" i="10"/>
  <c r="AA48" i="10" s="1"/>
  <c r="N48" i="10"/>
  <c r="Z48" i="10" s="1"/>
  <c r="M48" i="10"/>
  <c r="Y48" i="10" s="1"/>
  <c r="A48" i="10"/>
  <c r="AI47" i="10"/>
  <c r="AH47" i="10"/>
  <c r="AG47" i="10"/>
  <c r="AF47" i="10"/>
  <c r="AE47" i="10"/>
  <c r="AD47" i="10"/>
  <c r="AC47" i="10"/>
  <c r="AB47" i="10"/>
  <c r="X47" i="10"/>
  <c r="O47" i="10"/>
  <c r="AA47" i="10" s="1"/>
  <c r="N47" i="10"/>
  <c r="Z47" i="10" s="1"/>
  <c r="M47" i="10"/>
  <c r="Y47" i="10" s="1"/>
  <c r="A47" i="10"/>
  <c r="AI46" i="10"/>
  <c r="AH46" i="10"/>
  <c r="AG46" i="10"/>
  <c r="AF46" i="10"/>
  <c r="AE46" i="10"/>
  <c r="AD46" i="10"/>
  <c r="AC46" i="10"/>
  <c r="AB46" i="10"/>
  <c r="X46" i="10"/>
  <c r="O46" i="10"/>
  <c r="AA46" i="10" s="1"/>
  <c r="N46" i="10"/>
  <c r="Z46" i="10" s="1"/>
  <c r="M46" i="10"/>
  <c r="Y46" i="10" s="1"/>
  <c r="A46" i="10"/>
  <c r="AI45" i="10"/>
  <c r="AH45" i="10"/>
  <c r="AG45" i="10"/>
  <c r="AF45" i="10"/>
  <c r="AE45" i="10"/>
  <c r="AD45" i="10"/>
  <c r="AC45" i="10"/>
  <c r="AB45" i="10"/>
  <c r="X45" i="10"/>
  <c r="O45" i="10"/>
  <c r="AA45" i="10" s="1"/>
  <c r="N45" i="10"/>
  <c r="Z45" i="10" s="1"/>
  <c r="M45" i="10"/>
  <c r="Y45" i="10" s="1"/>
  <c r="A45" i="10"/>
  <c r="AI44" i="10"/>
  <c r="AH44" i="10"/>
  <c r="AG44" i="10"/>
  <c r="AF44" i="10"/>
  <c r="AE44" i="10"/>
  <c r="AD44" i="10"/>
  <c r="AC44" i="10"/>
  <c r="AB44" i="10"/>
  <c r="X44" i="10"/>
  <c r="O44" i="10"/>
  <c r="AA44" i="10" s="1"/>
  <c r="N44" i="10"/>
  <c r="Z44" i="10" s="1"/>
  <c r="M44" i="10"/>
  <c r="Y44" i="10" s="1"/>
  <c r="A44" i="10"/>
  <c r="AI43" i="10"/>
  <c r="AH43" i="10"/>
  <c r="AG43" i="10"/>
  <c r="AF43" i="10"/>
  <c r="AE43" i="10"/>
  <c r="AD43" i="10"/>
  <c r="AC43" i="10"/>
  <c r="AB43" i="10"/>
  <c r="X43" i="10"/>
  <c r="O43" i="10"/>
  <c r="AA43" i="10" s="1"/>
  <c r="N43" i="10"/>
  <c r="Z43" i="10" s="1"/>
  <c r="M43" i="10"/>
  <c r="Y43" i="10" s="1"/>
  <c r="A43" i="10"/>
  <c r="AI42" i="10"/>
  <c r="AH42" i="10"/>
  <c r="AG42" i="10"/>
  <c r="AF42" i="10"/>
  <c r="AE42" i="10"/>
  <c r="AD42" i="10"/>
  <c r="AC42" i="10"/>
  <c r="AB42" i="10"/>
  <c r="X42" i="10"/>
  <c r="O42" i="10"/>
  <c r="AA42" i="10" s="1"/>
  <c r="N42" i="10"/>
  <c r="Z42" i="10" s="1"/>
  <c r="M42" i="10"/>
  <c r="Y42" i="10" s="1"/>
  <c r="A42" i="10"/>
  <c r="AF41" i="10"/>
  <c r="AE41" i="10"/>
  <c r="AD41" i="10"/>
  <c r="AB41" i="10"/>
  <c r="AA41" i="10"/>
  <c r="Z41" i="10"/>
  <c r="Y41" i="10"/>
  <c r="X41" i="10"/>
  <c r="W41" i="10"/>
  <c r="W55" i="10" s="1"/>
  <c r="AI55" i="10" s="1"/>
  <c r="V41" i="10"/>
  <c r="V55" i="10" s="1"/>
  <c r="AH55" i="10" s="1"/>
  <c r="U41" i="10"/>
  <c r="U55" i="10" s="1"/>
  <c r="AG55" i="10" s="1"/>
  <c r="S41" i="10"/>
  <c r="R41" i="10"/>
  <c r="R55" i="10" s="1"/>
  <c r="AD55" i="10" s="1"/>
  <c r="Q41" i="10"/>
  <c r="AC41" i="10" s="1"/>
  <c r="A41" i="10"/>
  <c r="AH40" i="10"/>
  <c r="AF40" i="10"/>
  <c r="AD40" i="10"/>
  <c r="AB40" i="10"/>
  <c r="AA40" i="10"/>
  <c r="Z40" i="10"/>
  <c r="Y40" i="10"/>
  <c r="X40" i="10"/>
  <c r="W40" i="10"/>
  <c r="AI40" i="10" s="1"/>
  <c r="V40" i="10"/>
  <c r="V54" i="10" s="1"/>
  <c r="AH54" i="10" s="1"/>
  <c r="U40" i="10"/>
  <c r="AG40" i="10" s="1"/>
  <c r="S40" i="10"/>
  <c r="AE40" i="10" s="1"/>
  <c r="R40" i="10"/>
  <c r="Q40" i="10"/>
  <c r="Q54" i="10" s="1"/>
  <c r="AC54" i="10" s="1"/>
  <c r="A40" i="10"/>
  <c r="AH39" i="10"/>
  <c r="AF39" i="10"/>
  <c r="AC39" i="10"/>
  <c r="AB39" i="10"/>
  <c r="AA39" i="10"/>
  <c r="Z39" i="10"/>
  <c r="Y39" i="10"/>
  <c r="X39" i="10"/>
  <c r="W39" i="10"/>
  <c r="AI39" i="10" s="1"/>
  <c r="V39" i="10"/>
  <c r="U39" i="10"/>
  <c r="U53" i="10" s="1"/>
  <c r="AG53" i="10" s="1"/>
  <c r="S39" i="10"/>
  <c r="S53" i="10" s="1"/>
  <c r="AE53" i="10" s="1"/>
  <c r="R39" i="10"/>
  <c r="R53" i="10" s="1"/>
  <c r="AD53" i="10" s="1"/>
  <c r="Q39" i="10"/>
  <c r="A39" i="10"/>
  <c r="AI38" i="10"/>
  <c r="AF38" i="10"/>
  <c r="AE38" i="10"/>
  <c r="AB38" i="10"/>
  <c r="AA38" i="10"/>
  <c r="Z38" i="10"/>
  <c r="Y38" i="10"/>
  <c r="X38" i="10"/>
  <c r="W38" i="10"/>
  <c r="W52" i="10" s="1"/>
  <c r="AI52" i="10" s="1"/>
  <c r="V38" i="10"/>
  <c r="V52" i="10" s="1"/>
  <c r="AH52" i="10" s="1"/>
  <c r="U38" i="10"/>
  <c r="AG38" i="10" s="1"/>
  <c r="S38" i="10"/>
  <c r="S52" i="10" s="1"/>
  <c r="AE52" i="10" s="1"/>
  <c r="R38" i="10"/>
  <c r="AD38" i="10" s="1"/>
  <c r="Q38" i="10"/>
  <c r="AC38" i="10" s="1"/>
  <c r="A38" i="10"/>
  <c r="AI37" i="10"/>
  <c r="AF37" i="10"/>
  <c r="AE37" i="10"/>
  <c r="AB37" i="10"/>
  <c r="AA37" i="10"/>
  <c r="Z37" i="10"/>
  <c r="Y37" i="10"/>
  <c r="X37" i="10"/>
  <c r="W37" i="10"/>
  <c r="W51" i="10" s="1"/>
  <c r="AI51" i="10" s="1"/>
  <c r="V37" i="10"/>
  <c r="AH37" i="10" s="1"/>
  <c r="U37" i="10"/>
  <c r="AG37" i="10" s="1"/>
  <c r="S37" i="10"/>
  <c r="R37" i="10"/>
  <c r="R51" i="10" s="1"/>
  <c r="AD51" i="10" s="1"/>
  <c r="Q37" i="10"/>
  <c r="Q51" i="10" s="1"/>
  <c r="AC51" i="10" s="1"/>
  <c r="A37" i="10"/>
  <c r="AG36" i="10"/>
  <c r="AF36" i="10"/>
  <c r="AD36" i="10"/>
  <c r="AC36" i="10"/>
  <c r="AB36" i="10"/>
  <c r="AA36" i="10"/>
  <c r="Z36" i="10"/>
  <c r="Y36" i="10"/>
  <c r="X36" i="10"/>
  <c r="W36" i="10"/>
  <c r="AI36" i="10" s="1"/>
  <c r="V36" i="10"/>
  <c r="V50" i="10" s="1"/>
  <c r="AH50" i="10" s="1"/>
  <c r="U36" i="10"/>
  <c r="U50" i="10" s="1"/>
  <c r="AG50" i="10" s="1"/>
  <c r="S36" i="10"/>
  <c r="S50" i="10" s="1"/>
  <c r="AE50" i="10" s="1"/>
  <c r="R36" i="10"/>
  <c r="Q36" i="10"/>
  <c r="Q50" i="10" s="1"/>
  <c r="AC50" i="10" s="1"/>
  <c r="A36" i="10"/>
  <c r="AG35" i="10"/>
  <c r="AF35" i="10"/>
  <c r="AC35" i="10"/>
  <c r="AB35" i="10"/>
  <c r="AA35" i="10"/>
  <c r="Z35" i="10"/>
  <c r="Y35" i="10"/>
  <c r="X35" i="10"/>
  <c r="W35" i="10"/>
  <c r="W49" i="10" s="1"/>
  <c r="AI49" i="10" s="1"/>
  <c r="V35" i="10"/>
  <c r="AH35" i="10" s="1"/>
  <c r="U35" i="10"/>
  <c r="U49" i="10" s="1"/>
  <c r="AG49" i="10" s="1"/>
  <c r="S35" i="10"/>
  <c r="AE35" i="10" s="1"/>
  <c r="R35" i="10"/>
  <c r="AD35" i="10" s="1"/>
  <c r="Q35" i="10"/>
  <c r="A35" i="10"/>
  <c r="AI34" i="10"/>
  <c r="AH34" i="10"/>
  <c r="AG34" i="10"/>
  <c r="AF34" i="10"/>
  <c r="AE34" i="10"/>
  <c r="AD34" i="10"/>
  <c r="AC34" i="10"/>
  <c r="AB34" i="10"/>
  <c r="Z34" i="10"/>
  <c r="X34" i="10"/>
  <c r="O34" i="10"/>
  <c r="AA34" i="10" s="1"/>
  <c r="N34" i="10"/>
  <c r="M34" i="10"/>
  <c r="Y34" i="10" s="1"/>
  <c r="A34" i="10"/>
  <c r="AI33" i="10"/>
  <c r="AH33" i="10"/>
  <c r="AG33" i="10"/>
  <c r="AF33" i="10"/>
  <c r="AE33" i="10"/>
  <c r="AD33" i="10"/>
  <c r="AC33" i="10"/>
  <c r="AB33" i="10"/>
  <c r="Z33" i="10"/>
  <c r="X33" i="10"/>
  <c r="O33" i="10"/>
  <c r="AA33" i="10" s="1"/>
  <c r="N33" i="10"/>
  <c r="M33" i="10"/>
  <c r="Y33" i="10" s="1"/>
  <c r="A33" i="10"/>
  <c r="AI32" i="10"/>
  <c r="AH32" i="10"/>
  <c r="AG32" i="10"/>
  <c r="AF32" i="10"/>
  <c r="AE32" i="10"/>
  <c r="AD32" i="10"/>
  <c r="AC32" i="10"/>
  <c r="AB32" i="10"/>
  <c r="Z32" i="10"/>
  <c r="X32" i="10"/>
  <c r="O32" i="10"/>
  <c r="AA32" i="10" s="1"/>
  <c r="N32" i="10"/>
  <c r="M32" i="10"/>
  <c r="Y32" i="10" s="1"/>
  <c r="A32" i="10"/>
  <c r="AI31" i="10"/>
  <c r="AH31" i="10"/>
  <c r="AG31" i="10"/>
  <c r="AF31" i="10"/>
  <c r="AE31" i="10"/>
  <c r="AD31" i="10"/>
  <c r="AC31" i="10"/>
  <c r="AB31" i="10"/>
  <c r="Z31" i="10"/>
  <c r="X31" i="10"/>
  <c r="O31" i="10"/>
  <c r="AA31" i="10" s="1"/>
  <c r="N31" i="10"/>
  <c r="M31" i="10"/>
  <c r="Y31" i="10" s="1"/>
  <c r="A31" i="10"/>
  <c r="AI30" i="10"/>
  <c r="AH30" i="10"/>
  <c r="AG30" i="10"/>
  <c r="AF30" i="10"/>
  <c r="AE30" i="10"/>
  <c r="AD30" i="10"/>
  <c r="AC30" i="10"/>
  <c r="AB30" i="10"/>
  <c r="Z30" i="10"/>
  <c r="X30" i="10"/>
  <c r="O30" i="10"/>
  <c r="AA30" i="10" s="1"/>
  <c r="N30" i="10"/>
  <c r="M30" i="10"/>
  <c r="Y30" i="10" s="1"/>
  <c r="A30" i="10"/>
  <c r="AI29" i="10"/>
  <c r="AH29" i="10"/>
  <c r="AG29" i="10"/>
  <c r="AF29" i="10"/>
  <c r="AE29" i="10"/>
  <c r="AD29" i="10"/>
  <c r="AC29" i="10"/>
  <c r="AB29" i="10"/>
  <c r="Z29" i="10"/>
  <c r="X29" i="10"/>
  <c r="O29" i="10"/>
  <c r="AA29" i="10" s="1"/>
  <c r="N29" i="10"/>
  <c r="M29" i="10"/>
  <c r="Y29" i="10" s="1"/>
  <c r="A29" i="10"/>
  <c r="AI28" i="10"/>
  <c r="AH28" i="10"/>
  <c r="AG28" i="10"/>
  <c r="AF28" i="10"/>
  <c r="AE28" i="10"/>
  <c r="AD28" i="10"/>
  <c r="AC28" i="10"/>
  <c r="AB28" i="10"/>
  <c r="Z28" i="10"/>
  <c r="X28" i="10"/>
  <c r="O28" i="10"/>
  <c r="AA28" i="10" s="1"/>
  <c r="N28" i="10"/>
  <c r="M28" i="10"/>
  <c r="Y28" i="10" s="1"/>
  <c r="A28" i="10"/>
  <c r="AH27" i="10"/>
  <c r="AF27" i="10"/>
  <c r="AB27" i="10"/>
  <c r="AA27" i="10"/>
  <c r="Z27" i="10"/>
  <c r="Y27" i="10"/>
  <c r="X27" i="10"/>
  <c r="W27" i="10"/>
  <c r="AI27" i="10" s="1"/>
  <c r="V27" i="10"/>
  <c r="U27" i="10"/>
  <c r="AG27" i="10" s="1"/>
  <c r="S27" i="10"/>
  <c r="AE27" i="10" s="1"/>
  <c r="R27" i="10"/>
  <c r="AD27" i="10" s="1"/>
  <c r="Q27" i="10"/>
  <c r="AC27" i="10" s="1"/>
  <c r="A27" i="10"/>
  <c r="AH26" i="10"/>
  <c r="AF26" i="10"/>
  <c r="AE26" i="10"/>
  <c r="AD26" i="10"/>
  <c r="AB26" i="10"/>
  <c r="AA26" i="10"/>
  <c r="Z26" i="10"/>
  <c r="Y26" i="10"/>
  <c r="X26" i="10"/>
  <c r="W26" i="10"/>
  <c r="AI26" i="10" s="1"/>
  <c r="V26" i="10"/>
  <c r="U26" i="10"/>
  <c r="AG26" i="10" s="1"/>
  <c r="S26" i="10"/>
  <c r="R26" i="10"/>
  <c r="R54" i="10" s="1"/>
  <c r="AD54" i="10" s="1"/>
  <c r="Q26" i="10"/>
  <c r="AC26" i="10" s="1"/>
  <c r="A26" i="10"/>
  <c r="AH25" i="10"/>
  <c r="AF25" i="10"/>
  <c r="AB25" i="10"/>
  <c r="AA25" i="10"/>
  <c r="Z25" i="10"/>
  <c r="Y25" i="10"/>
  <c r="X25" i="10"/>
  <c r="W25" i="10"/>
  <c r="AI25" i="10" s="1"/>
  <c r="V25" i="10"/>
  <c r="V53" i="10" s="1"/>
  <c r="AH53" i="10" s="1"/>
  <c r="U25" i="10"/>
  <c r="AG25" i="10" s="1"/>
  <c r="S25" i="10"/>
  <c r="AE25" i="10" s="1"/>
  <c r="R25" i="10"/>
  <c r="AD25" i="10" s="1"/>
  <c r="Q25" i="10"/>
  <c r="AC25" i="10" s="1"/>
  <c r="A25" i="10"/>
  <c r="AI24" i="10"/>
  <c r="AF24" i="10"/>
  <c r="AC24" i="10"/>
  <c r="AB24" i="10"/>
  <c r="AA24" i="10"/>
  <c r="Z24" i="10"/>
  <c r="Y24" i="10"/>
  <c r="X24" i="10"/>
  <c r="W24" i="10"/>
  <c r="V24" i="10"/>
  <c r="AH24" i="10" s="1"/>
  <c r="U24" i="10"/>
  <c r="AG24" i="10" s="1"/>
  <c r="S24" i="10"/>
  <c r="AE24" i="10" s="1"/>
  <c r="R24" i="10"/>
  <c r="AD24" i="10" s="1"/>
  <c r="Q24" i="10"/>
  <c r="A24" i="10"/>
  <c r="AI23" i="10"/>
  <c r="AF23" i="10"/>
  <c r="AE23" i="10"/>
  <c r="AB23" i="10"/>
  <c r="AA23" i="10"/>
  <c r="Z23" i="10"/>
  <c r="Y23" i="10"/>
  <c r="X23" i="10"/>
  <c r="W23" i="10"/>
  <c r="V23" i="10"/>
  <c r="AH23" i="10" s="1"/>
  <c r="U23" i="10"/>
  <c r="AG23" i="10" s="1"/>
  <c r="S23" i="10"/>
  <c r="S51" i="10" s="1"/>
  <c r="AE51" i="10" s="1"/>
  <c r="R23" i="10"/>
  <c r="AD23" i="10" s="1"/>
  <c r="Q23" i="10"/>
  <c r="AC23" i="10" s="1"/>
  <c r="A23" i="10"/>
  <c r="AI22" i="10"/>
  <c r="AG22" i="10"/>
  <c r="AF22" i="10"/>
  <c r="AB22" i="10"/>
  <c r="AA22" i="10"/>
  <c r="Z22" i="10"/>
  <c r="Y22" i="10"/>
  <c r="X22" i="10"/>
  <c r="W22" i="10"/>
  <c r="W50" i="10" s="1"/>
  <c r="AI50" i="10" s="1"/>
  <c r="V22" i="10"/>
  <c r="AH22" i="10" s="1"/>
  <c r="U22" i="10"/>
  <c r="S22" i="10"/>
  <c r="AE22" i="10" s="1"/>
  <c r="R22" i="10"/>
  <c r="AD22" i="10" s="1"/>
  <c r="Q22" i="10"/>
  <c r="AC22" i="10" s="1"/>
  <c r="A22" i="10"/>
  <c r="AG21" i="10"/>
  <c r="AF21" i="10"/>
  <c r="AD21" i="10"/>
  <c r="AC21" i="10"/>
  <c r="AB21" i="10"/>
  <c r="AA21" i="10"/>
  <c r="Z21" i="10"/>
  <c r="Y21" i="10"/>
  <c r="X21" i="10"/>
  <c r="W21" i="10"/>
  <c r="AI21" i="10" s="1"/>
  <c r="V21" i="10"/>
  <c r="AH21" i="10" s="1"/>
  <c r="U21" i="10"/>
  <c r="S21" i="10"/>
  <c r="AE21" i="10" s="1"/>
  <c r="R21" i="10"/>
  <c r="Q21" i="10"/>
  <c r="Q49" i="10" s="1"/>
  <c r="AC49" i="10" s="1"/>
  <c r="A21" i="10"/>
  <c r="AI20" i="10"/>
  <c r="AH20" i="10"/>
  <c r="AG20" i="10"/>
  <c r="AF20" i="10"/>
  <c r="AE20" i="10"/>
  <c r="AD20" i="10"/>
  <c r="AC20" i="10"/>
  <c r="AB20" i="10"/>
  <c r="Z20" i="10"/>
  <c r="Y20" i="10"/>
  <c r="X20" i="10"/>
  <c r="O20" i="10"/>
  <c r="AA20" i="10" s="1"/>
  <c r="N20" i="10"/>
  <c r="M20" i="10"/>
  <c r="A20" i="10"/>
  <c r="AI19" i="10"/>
  <c r="AH19" i="10"/>
  <c r="AG19" i="10"/>
  <c r="AF19" i="10"/>
  <c r="AE19" i="10"/>
  <c r="AD19" i="10"/>
  <c r="AC19" i="10"/>
  <c r="AB19" i="10"/>
  <c r="Z19" i="10"/>
  <c r="Y19" i="10"/>
  <c r="X19" i="10"/>
  <c r="O19" i="10"/>
  <c r="AA19" i="10" s="1"/>
  <c r="N19" i="10"/>
  <c r="M19" i="10"/>
  <c r="A19" i="10"/>
  <c r="AI18" i="10"/>
  <c r="AH18" i="10"/>
  <c r="AG18" i="10"/>
  <c r="AF18" i="10"/>
  <c r="AE18" i="10"/>
  <c r="AD18" i="10"/>
  <c r="AC18" i="10"/>
  <c r="AB18" i="10"/>
  <c r="Z18" i="10"/>
  <c r="Y18" i="10"/>
  <c r="X18" i="10"/>
  <c r="O18" i="10"/>
  <c r="AA18" i="10" s="1"/>
  <c r="N18" i="10"/>
  <c r="M18" i="10"/>
  <c r="A18" i="10"/>
  <c r="AI17" i="10"/>
  <c r="AH17" i="10"/>
  <c r="AG17" i="10"/>
  <c r="AF17" i="10"/>
  <c r="AE17" i="10"/>
  <c r="AD17" i="10"/>
  <c r="AC17" i="10"/>
  <c r="AB17" i="10"/>
  <c r="Z17" i="10"/>
  <c r="Y17" i="10"/>
  <c r="X17" i="10"/>
  <c r="O17" i="10"/>
  <c r="AA17" i="10" s="1"/>
  <c r="N17" i="10"/>
  <c r="M17" i="10"/>
  <c r="A17" i="10"/>
  <c r="AI16" i="10"/>
  <c r="AH16" i="10"/>
  <c r="AG16" i="10"/>
  <c r="AF16" i="10"/>
  <c r="AE16" i="10"/>
  <c r="AD16" i="10"/>
  <c r="AC16" i="10"/>
  <c r="AB16" i="10"/>
  <c r="Z16" i="10"/>
  <c r="Y16" i="10"/>
  <c r="X16" i="10"/>
  <c r="O16" i="10"/>
  <c r="AA16" i="10" s="1"/>
  <c r="N16" i="10"/>
  <c r="M16" i="10"/>
  <c r="A16" i="10"/>
  <c r="AI15" i="10"/>
  <c r="AH15" i="10"/>
  <c r="AG15" i="10"/>
  <c r="AF15" i="10"/>
  <c r="AE15" i="10"/>
  <c r="AD15" i="10"/>
  <c r="AC15" i="10"/>
  <c r="AB15" i="10"/>
  <c r="Z15" i="10"/>
  <c r="Y15" i="10"/>
  <c r="X15" i="10"/>
  <c r="O15" i="10"/>
  <c r="AA15" i="10" s="1"/>
  <c r="N15" i="10"/>
  <c r="M15" i="10"/>
  <c r="A15" i="10"/>
  <c r="AI14" i="10"/>
  <c r="AH14" i="10"/>
  <c r="AG14" i="10"/>
  <c r="AF14" i="10"/>
  <c r="AE14" i="10"/>
  <c r="AD14" i="10"/>
  <c r="AC14" i="10"/>
  <c r="AB14" i="10"/>
  <c r="Z14" i="10"/>
  <c r="Y14" i="10"/>
  <c r="X14" i="10"/>
  <c r="O14" i="10"/>
  <c r="AA14" i="10" s="1"/>
  <c r="N14" i="10"/>
  <c r="M14" i="10"/>
  <c r="A14" i="10"/>
  <c r="AI13" i="10"/>
  <c r="AH13" i="10"/>
  <c r="AG13" i="10"/>
  <c r="AF13" i="10"/>
  <c r="AE13" i="10"/>
  <c r="AD13" i="10"/>
  <c r="AC13" i="10"/>
  <c r="AB13" i="10"/>
  <c r="AA13" i="10"/>
  <c r="Z13" i="10"/>
  <c r="Y13" i="10"/>
  <c r="X13" i="10"/>
  <c r="A13" i="10"/>
  <c r="AI12" i="10"/>
  <c r="AH12" i="10"/>
  <c r="AG12" i="10"/>
  <c r="AF12" i="10"/>
  <c r="AE12" i="10"/>
  <c r="AD12" i="10"/>
  <c r="AC12" i="10"/>
  <c r="AB12" i="10"/>
  <c r="AA12" i="10"/>
  <c r="Z12" i="10"/>
  <c r="Y12" i="10"/>
  <c r="X12" i="10"/>
  <c r="A12" i="10"/>
  <c r="AI11" i="10"/>
  <c r="AH11" i="10"/>
  <c r="AG11" i="10"/>
  <c r="AF11" i="10"/>
  <c r="AE11" i="10"/>
  <c r="AD11" i="10"/>
  <c r="AC11" i="10"/>
  <c r="AB11" i="10"/>
  <c r="AA11" i="10"/>
  <c r="Z11" i="10"/>
  <c r="Y11" i="10"/>
  <c r="X11" i="10"/>
  <c r="A11" i="10"/>
  <c r="AI10" i="10"/>
  <c r="AH10" i="10"/>
  <c r="AG10" i="10"/>
  <c r="AF10" i="10"/>
  <c r="AE10" i="10"/>
  <c r="AD10" i="10"/>
  <c r="AC10" i="10"/>
  <c r="AB10" i="10"/>
  <c r="AA10" i="10"/>
  <c r="Z10" i="10"/>
  <c r="Y10" i="10"/>
  <c r="X10" i="10"/>
  <c r="A10" i="10"/>
  <c r="AI9" i="10"/>
  <c r="AH9" i="10"/>
  <c r="AG9" i="10"/>
  <c r="AF9" i="10"/>
  <c r="AE9" i="10"/>
  <c r="AD9" i="10"/>
  <c r="AC9" i="10"/>
  <c r="AB9" i="10"/>
  <c r="AA9" i="10"/>
  <c r="Z9" i="10"/>
  <c r="Y9" i="10"/>
  <c r="X9" i="10"/>
  <c r="A9" i="10"/>
  <c r="AI8" i="10"/>
  <c r="AH8" i="10"/>
  <c r="AG8" i="10"/>
  <c r="AF8" i="10"/>
  <c r="AE8" i="10"/>
  <c r="AD8" i="10"/>
  <c r="AC8" i="10"/>
  <c r="AB8" i="10"/>
  <c r="AA8" i="10"/>
  <c r="Z8" i="10"/>
  <c r="Y8" i="10"/>
  <c r="X8" i="10"/>
  <c r="A8" i="10"/>
  <c r="AI7" i="10"/>
  <c r="AH7" i="10"/>
  <c r="AG7" i="10"/>
  <c r="AF7" i="10"/>
  <c r="AE7" i="10"/>
  <c r="AD7" i="10"/>
  <c r="AC7" i="10"/>
  <c r="AB7" i="10"/>
  <c r="AA7" i="10"/>
  <c r="Z7" i="10"/>
  <c r="Y7" i="10"/>
  <c r="X7" i="10"/>
  <c r="A7" i="10"/>
  <c r="B37" i="11" l="1"/>
  <c r="F37" i="11"/>
  <c r="G39" i="11" s="1"/>
  <c r="M39" i="11" s="1"/>
  <c r="B65" i="10"/>
  <c r="F65" i="10"/>
  <c r="G67" i="10" s="1"/>
  <c r="K67" i="10" s="1"/>
  <c r="R49" i="10"/>
  <c r="AD49" i="10" s="1"/>
  <c r="U51" i="10"/>
  <c r="AG51" i="10" s="1"/>
  <c r="Q52" i="10"/>
  <c r="AC52" i="10" s="1"/>
  <c r="W53" i="10"/>
  <c r="AI53" i="10" s="1"/>
  <c r="S54" i="10"/>
  <c r="AE54" i="10" s="1"/>
  <c r="Q55" i="10"/>
  <c r="AC55" i="10" s="1"/>
  <c r="AE36" i="10"/>
  <c r="AD39" i="10"/>
  <c r="AI35" i="10"/>
  <c r="AC37" i="10"/>
  <c r="AH38" i="10"/>
  <c r="AE39" i="10"/>
  <c r="AG41" i="10"/>
  <c r="V49" i="10"/>
  <c r="AH49" i="10" s="1"/>
  <c r="R50" i="10"/>
  <c r="AD50" i="10" s="1"/>
  <c r="U52" i="10"/>
  <c r="AG52" i="10" s="1"/>
  <c r="Q53" i="10"/>
  <c r="AC53" i="10" s="1"/>
  <c r="W54" i="10"/>
  <c r="AI54" i="10" s="1"/>
  <c r="S55" i="10"/>
  <c r="AE55" i="10" s="1"/>
  <c r="AH41" i="10"/>
  <c r="AD37" i="10"/>
  <c r="AC40" i="10"/>
  <c r="AH36" i="10"/>
  <c r="AG39" i="10"/>
  <c r="AI41" i="10"/>
  <c r="L20" i="5"/>
  <c r="L29" i="5"/>
  <c r="L32" i="5" s="1"/>
  <c r="H65" i="3" l="1"/>
  <c r="A14" i="8" l="1"/>
  <c r="L29" i="6" l="1"/>
  <c r="L32" i="6" s="1"/>
  <c r="L20" i="6"/>
  <c r="J24" i="6"/>
  <c r="J23" i="6"/>
  <c r="J22" i="6"/>
  <c r="J21" i="6"/>
  <c r="J18" i="6"/>
  <c r="J17" i="6"/>
  <c r="J16" i="6"/>
  <c r="J15" i="6"/>
  <c r="J14" i="6"/>
  <c r="J13" i="6"/>
  <c r="J12" i="6"/>
  <c r="J11" i="6"/>
  <c r="J10" i="6"/>
  <c r="J9" i="6"/>
  <c r="J8" i="6"/>
  <c r="J7" i="6"/>
  <c r="J6" i="6"/>
  <c r="J5" i="6"/>
  <c r="J20" i="6" l="1"/>
  <c r="J24" i="5"/>
  <c r="J23" i="5"/>
  <c r="J22" i="5"/>
  <c r="J21" i="5"/>
  <c r="J18" i="5"/>
  <c r="J17" i="5"/>
  <c r="J16" i="5"/>
  <c r="J15" i="5"/>
  <c r="J14" i="5"/>
  <c r="J13" i="5"/>
  <c r="J12" i="5"/>
  <c r="J11" i="5"/>
  <c r="J10" i="5"/>
  <c r="J9" i="5"/>
  <c r="J8" i="5"/>
  <c r="J7" i="5"/>
  <c r="J6" i="5"/>
  <c r="J5" i="5"/>
  <c r="B9" i="7"/>
  <c r="B11" i="7" s="1"/>
  <c r="L31" i="6" l="1"/>
  <c r="L33" i="6" s="1"/>
  <c r="L35" i="6" s="1"/>
  <c r="J20" i="5"/>
  <c r="L31" i="5" s="1"/>
  <c r="L33" i="5" l="1"/>
  <c r="L35" i="5" s="1"/>
  <c r="D65" i="3"/>
  <c r="K65" i="3" l="1"/>
  <c r="D65" i="4" l="1"/>
  <c r="K65" i="4" s="1"/>
</calcChain>
</file>

<file path=xl/sharedStrings.xml><?xml version="1.0" encoding="utf-8"?>
<sst xmlns="http://schemas.openxmlformats.org/spreadsheetml/2006/main" count="1764" uniqueCount="298">
  <si>
    <t>　　　　　　　　　　　　　　　 　　　　　氏 名               　　　　 　印</t>
    <rPh sb="21" eb="22">
      <t>フリ</t>
    </rPh>
    <rPh sb="23" eb="24">
      <t>ガナ</t>
    </rPh>
    <phoneticPr fontId="2" alignment="distributed"/>
  </si>
  <si>
    <t xml:space="preserve">                                     　　                            </t>
  </si>
  <si>
    <t xml:space="preserve">                       　　      </t>
    <phoneticPr fontId="1"/>
  </si>
  <si>
    <t>申請者</t>
    <rPh sb="0" eb="3">
      <t>シンセイシャ</t>
    </rPh>
    <phoneticPr fontId="1"/>
  </si>
  <si>
    <t>　</t>
    <phoneticPr fontId="1"/>
  </si>
  <si>
    <t>記</t>
    <phoneticPr fontId="1"/>
  </si>
  <si>
    <t>他制度適用</t>
    <phoneticPr fontId="1"/>
  </si>
  <si>
    <t>補助金名（実施主体）</t>
    <phoneticPr fontId="1"/>
  </si>
  <si>
    <t>他制度の補助対象経費</t>
    <phoneticPr fontId="1"/>
  </si>
  <si>
    <t xml:space="preserve">氏名  </t>
    <rPh sb="0" eb="2">
      <t>ふりがな</t>
    </rPh>
    <phoneticPr fontId="1" type="Hiragana" alignment="distributed"/>
  </si>
  <si>
    <t>１　概要</t>
    <rPh sb="2" eb="4">
      <t>ガイヨウ</t>
    </rPh>
    <phoneticPr fontId="1"/>
  </si>
  <si>
    <t>所在地</t>
    <rPh sb="0" eb="3">
      <t>ショザイチ</t>
    </rPh>
    <phoneticPr fontId="1"/>
  </si>
  <si>
    <t>第１号様式</t>
    <phoneticPr fontId="1"/>
  </si>
  <si>
    <t>建築時期</t>
    <rPh sb="0" eb="2">
      <t>ケンチク</t>
    </rPh>
    <rPh sb="2" eb="4">
      <t>ジキ</t>
    </rPh>
    <phoneticPr fontId="1"/>
  </si>
  <si>
    <t>年頃</t>
    <rPh sb="0" eb="1">
      <t>ネン</t>
    </rPh>
    <rPh sb="1" eb="2">
      <t>コロ</t>
    </rPh>
    <phoneticPr fontId="1"/>
  </si>
  <si>
    <t>構造</t>
    <rPh sb="0" eb="2">
      <t>コウゾウ</t>
    </rPh>
    <phoneticPr fontId="1"/>
  </si>
  <si>
    <t>造</t>
    <rPh sb="0" eb="1">
      <t>ゾウ</t>
    </rPh>
    <phoneticPr fontId="1"/>
  </si>
  <si>
    <t>階建て</t>
    <rPh sb="0" eb="2">
      <t>カイダ</t>
    </rPh>
    <phoneticPr fontId="1"/>
  </si>
  <si>
    <t>階数</t>
    <rPh sb="0" eb="2">
      <t>カイスウ</t>
    </rPh>
    <phoneticPr fontId="1"/>
  </si>
  <si>
    <t>延べ面積</t>
    <rPh sb="0" eb="1">
      <t>ノ</t>
    </rPh>
    <rPh sb="2" eb="4">
      <t>メンセキ</t>
    </rPh>
    <phoneticPr fontId="1"/>
  </si>
  <si>
    <t>住宅</t>
    <rPh sb="0" eb="2">
      <t>ジュウタク</t>
    </rPh>
    <phoneticPr fontId="1"/>
  </si>
  <si>
    <t>㎡</t>
    <phoneticPr fontId="1"/>
  </si>
  <si>
    <t>〒</t>
    <phoneticPr fontId="1"/>
  </si>
  <si>
    <t>地域区分</t>
    <rPh sb="0" eb="2">
      <t>チイキ</t>
    </rPh>
    <rPh sb="2" eb="4">
      <t>クブン</t>
    </rPh>
    <phoneticPr fontId="1"/>
  </si>
  <si>
    <t>３地域</t>
    <rPh sb="1" eb="3">
      <t>チイキ</t>
    </rPh>
    <phoneticPr fontId="5"/>
  </si>
  <si>
    <t>４地域</t>
    <rPh sb="1" eb="3">
      <t>チイキ</t>
    </rPh>
    <phoneticPr fontId="5"/>
  </si>
  <si>
    <t>５地域</t>
    <rPh sb="1" eb="3">
      <t>チイキ</t>
    </rPh>
    <phoneticPr fontId="5"/>
  </si>
  <si>
    <t>担当者名</t>
    <rPh sb="0" eb="2">
      <t>タントウ</t>
    </rPh>
    <rPh sb="2" eb="3">
      <t>シャ</t>
    </rPh>
    <rPh sb="3" eb="4">
      <t>メイ</t>
    </rPh>
    <phoneticPr fontId="1"/>
  </si>
  <si>
    <t>電話番号</t>
    <rPh sb="0" eb="2">
      <t>デンワ</t>
    </rPh>
    <rPh sb="2" eb="4">
      <t>バンゴウ</t>
    </rPh>
    <phoneticPr fontId="1"/>
  </si>
  <si>
    <t>メールアドレス</t>
    <phoneticPr fontId="1"/>
  </si>
  <si>
    <t>工事着手予定日</t>
    <rPh sb="0" eb="2">
      <t>コウジ</t>
    </rPh>
    <rPh sb="2" eb="4">
      <t>チャクシュ</t>
    </rPh>
    <phoneticPr fontId="1"/>
  </si>
  <si>
    <t>工事完了予定日</t>
    <rPh sb="0" eb="2">
      <t>コウジ</t>
    </rPh>
    <rPh sb="2" eb="4">
      <t>カンリョウ</t>
    </rPh>
    <rPh sb="4" eb="7">
      <t>ヨテイビ</t>
    </rPh>
    <phoneticPr fontId="1"/>
  </si>
  <si>
    <t>住所</t>
    <rPh sb="0" eb="2">
      <t>ジュウショ</t>
    </rPh>
    <phoneticPr fontId="1"/>
  </si>
  <si>
    <t>事業社名</t>
    <rPh sb="0" eb="2">
      <t>ジギョウ</t>
    </rPh>
    <rPh sb="2" eb="4">
      <t>シャメイ</t>
    </rPh>
    <rPh sb="3" eb="4">
      <t>メイ</t>
    </rPh>
    <phoneticPr fontId="1"/>
  </si>
  <si>
    <t>事業所在地</t>
    <rPh sb="0" eb="3">
      <t>ジギョウショ</t>
    </rPh>
    <rPh sb="3" eb="5">
      <t>ザイチ</t>
    </rPh>
    <phoneticPr fontId="1"/>
  </si>
  <si>
    <t>階数</t>
    <rPh sb="0" eb="2">
      <t>カイスウ</t>
    </rPh>
    <phoneticPr fontId="5"/>
  </si>
  <si>
    <t>仕様</t>
    <rPh sb="0" eb="2">
      <t>シヨウ</t>
    </rPh>
    <phoneticPr fontId="1"/>
  </si>
  <si>
    <t>居間</t>
    <rPh sb="0" eb="2">
      <t>イマ</t>
    </rPh>
    <phoneticPr fontId="5"/>
  </si>
  <si>
    <t>内窓設置</t>
    <rPh sb="0" eb="1">
      <t>ウチ</t>
    </rPh>
    <rPh sb="1" eb="2">
      <t>マド</t>
    </rPh>
    <rPh sb="2" eb="4">
      <t>セッチ</t>
    </rPh>
    <phoneticPr fontId="5"/>
  </si>
  <si>
    <t>面</t>
    <rPh sb="0" eb="1">
      <t>メン</t>
    </rPh>
    <phoneticPr fontId="5"/>
  </si>
  <si>
    <t>天井(屋根）</t>
    <rPh sb="0" eb="2">
      <t>テンジョウ</t>
    </rPh>
    <rPh sb="3" eb="5">
      <t>ヤネ</t>
    </rPh>
    <phoneticPr fontId="5"/>
  </si>
  <si>
    <t>床（基礎）</t>
    <rPh sb="0" eb="1">
      <t>ユカ</t>
    </rPh>
    <rPh sb="2" eb="4">
      <t>キソ</t>
    </rPh>
    <phoneticPr fontId="5"/>
  </si>
  <si>
    <t>窓</t>
    <rPh sb="0" eb="1">
      <t>マド</t>
    </rPh>
    <phoneticPr fontId="1"/>
  </si>
  <si>
    <t>その他</t>
    <rPh sb="2" eb="3">
      <t>タ</t>
    </rPh>
    <phoneticPr fontId="1"/>
  </si>
  <si>
    <t>箇所</t>
    <rPh sb="0" eb="2">
      <t>カショ</t>
    </rPh>
    <phoneticPr fontId="1"/>
  </si>
  <si>
    <t>施工箇所</t>
    <rPh sb="0" eb="2">
      <t>セコウ</t>
    </rPh>
    <rPh sb="2" eb="4">
      <t>カショ</t>
    </rPh>
    <phoneticPr fontId="5"/>
  </si>
  <si>
    <t>施工箇所数</t>
    <rPh sb="0" eb="2">
      <t>セコウ</t>
    </rPh>
    <rPh sb="2" eb="4">
      <t>カショ</t>
    </rPh>
    <rPh sb="4" eb="5">
      <t>スウ</t>
    </rPh>
    <phoneticPr fontId="1"/>
  </si>
  <si>
    <t>□</t>
  </si>
  <si>
    <t>□</t>
    <phoneticPr fontId="1"/>
  </si>
  <si>
    <t>☑</t>
    <phoneticPr fontId="1"/>
  </si>
  <si>
    <t>台所</t>
    <rPh sb="0" eb="2">
      <t>ダイドコロ</t>
    </rPh>
    <phoneticPr fontId="5"/>
  </si>
  <si>
    <t>食堂</t>
    <rPh sb="0" eb="2">
      <t>ショクドウ</t>
    </rPh>
    <phoneticPr fontId="5"/>
  </si>
  <si>
    <t>脱衣所</t>
    <rPh sb="0" eb="3">
      <t>ダツイジョ</t>
    </rPh>
    <phoneticPr fontId="5"/>
  </si>
  <si>
    <t>×</t>
    <phoneticPr fontId="1"/>
  </si>
  <si>
    <t>補助上限額</t>
    <rPh sb="0" eb="2">
      <t>ホジョ</t>
    </rPh>
    <rPh sb="2" eb="4">
      <t>ジョウゲン</t>
    </rPh>
    <rPh sb="4" eb="5">
      <t>ガク</t>
    </rPh>
    <phoneticPr fontId="1"/>
  </si>
  <si>
    <t>単位（円）</t>
    <rPh sb="0" eb="2">
      <t>タンイ</t>
    </rPh>
    <rPh sb="3" eb="4">
      <t>エン</t>
    </rPh>
    <phoneticPr fontId="1"/>
  </si>
  <si>
    <t>LDK</t>
    <phoneticPr fontId="1"/>
  </si>
  <si>
    <t>窓</t>
    <rPh sb="0" eb="1">
      <t>マド</t>
    </rPh>
    <phoneticPr fontId="1"/>
  </si>
  <si>
    <t>天井</t>
    <rPh sb="0" eb="2">
      <t>テンジョウ</t>
    </rPh>
    <phoneticPr fontId="1"/>
  </si>
  <si>
    <t>床</t>
    <rPh sb="0" eb="1">
      <t>ユカ</t>
    </rPh>
    <phoneticPr fontId="1"/>
  </si>
  <si>
    <t>○</t>
  </si>
  <si>
    <t>○</t>
    <phoneticPr fontId="1"/>
  </si>
  <si>
    <t>＋1室</t>
    <rPh sb="2" eb="3">
      <t>シツ</t>
    </rPh>
    <phoneticPr fontId="1"/>
  </si>
  <si>
    <t>天井</t>
    <rPh sb="0" eb="1">
      <t>テンジョウ</t>
    </rPh>
    <phoneticPr fontId="1"/>
  </si>
  <si>
    <t>＋2室</t>
    <rPh sb="2" eb="3">
      <t>シツ</t>
    </rPh>
    <phoneticPr fontId="1"/>
  </si>
  <si>
    <t>＋3室</t>
    <rPh sb="2" eb="3">
      <t>シツ</t>
    </rPh>
    <phoneticPr fontId="1"/>
  </si>
  <si>
    <t>○</t>
    <phoneticPr fontId="1"/>
  </si>
  <si>
    <t>★</t>
    <phoneticPr fontId="1"/>
  </si>
  <si>
    <t>（　　築</t>
    <rPh sb="3" eb="4">
      <t>チク</t>
    </rPh>
    <phoneticPr fontId="1"/>
  </si>
  <si>
    <t>年　　）</t>
    <rPh sb="0" eb="1">
      <t>ネン</t>
    </rPh>
    <phoneticPr fontId="1"/>
  </si>
  <si>
    <t>築36年以上</t>
    <rPh sb="0" eb="1">
      <t>チク</t>
    </rPh>
    <rPh sb="3" eb="4">
      <t>ネン</t>
    </rPh>
    <rPh sb="4" eb="6">
      <t>イジョウ</t>
    </rPh>
    <phoneticPr fontId="1"/>
  </si>
  <si>
    <t>築26年以上36年未満</t>
    <rPh sb="2" eb="3">
      <t>ネン</t>
    </rPh>
    <rPh sb="3" eb="5">
      <t>イジョウ</t>
    </rPh>
    <rPh sb="7" eb="8">
      <t>ネン</t>
    </rPh>
    <rPh sb="8" eb="10">
      <t>ミマン</t>
    </rPh>
    <phoneticPr fontId="1"/>
  </si>
  <si>
    <t>築26年未満</t>
    <rPh sb="2" eb="3">
      <t>ネン</t>
    </rPh>
    <rPh sb="3" eb="5">
      <t>ミマン</t>
    </rPh>
    <phoneticPr fontId="1"/>
  </si>
  <si>
    <t>3地域</t>
    <rPh sb="1" eb="3">
      <t>チイキ</t>
    </rPh>
    <phoneticPr fontId="1"/>
  </si>
  <si>
    <t>4地域</t>
    <rPh sb="1" eb="3">
      <t>チイキ</t>
    </rPh>
    <phoneticPr fontId="1"/>
  </si>
  <si>
    <t>5地域</t>
    <rPh sb="1" eb="3">
      <t>チイキ</t>
    </rPh>
    <phoneticPr fontId="1"/>
  </si>
  <si>
    <t>築26年以上築36年未満</t>
    <rPh sb="0" eb="1">
      <t>チク</t>
    </rPh>
    <rPh sb="3" eb="4">
      <t>ネン</t>
    </rPh>
    <rPh sb="4" eb="6">
      <t>イジョウ</t>
    </rPh>
    <rPh sb="6" eb="7">
      <t>チク</t>
    </rPh>
    <rPh sb="9" eb="10">
      <t>ネン</t>
    </rPh>
    <rPh sb="10" eb="12">
      <t>ミマン</t>
    </rPh>
    <phoneticPr fontId="1"/>
  </si>
  <si>
    <t>築26年未満</t>
    <rPh sb="0" eb="1">
      <t>チク</t>
    </rPh>
    <rPh sb="3" eb="4">
      <t>ネン</t>
    </rPh>
    <rPh sb="4" eb="6">
      <t>ミマン</t>
    </rPh>
    <phoneticPr fontId="1"/>
  </si>
  <si>
    <t>1室</t>
    <rPh sb="0" eb="1">
      <t>シツ</t>
    </rPh>
    <phoneticPr fontId="1"/>
  </si>
  <si>
    <t>2室</t>
    <rPh sb="0" eb="1">
      <t>シツ</t>
    </rPh>
    <phoneticPr fontId="1"/>
  </si>
  <si>
    <t>3室</t>
    <rPh sb="0" eb="1">
      <t>シツ</t>
    </rPh>
    <phoneticPr fontId="1"/>
  </si>
  <si>
    <t>床</t>
    <rPh sb="0" eb="1">
      <t>ユカ</t>
    </rPh>
    <phoneticPr fontId="1"/>
  </si>
  <si>
    <t>☑</t>
    <phoneticPr fontId="1"/>
  </si>
  <si>
    <t>第１－１号様式</t>
    <rPh sb="0" eb="1">
      <t>ダイ</t>
    </rPh>
    <rPh sb="4" eb="5">
      <t>ゴウ</t>
    </rPh>
    <rPh sb="5" eb="7">
      <t>ヨウシキ</t>
    </rPh>
    <phoneticPr fontId="1"/>
  </si>
  <si>
    <t>地域区分</t>
    <rPh sb="0" eb="2">
      <t>チイキ</t>
    </rPh>
    <rPh sb="2" eb="4">
      <t>クブン</t>
    </rPh>
    <phoneticPr fontId="1"/>
  </si>
  <si>
    <t>㎡</t>
    <phoneticPr fontId="1"/>
  </si>
  <si>
    <t>（２）該当する項目の□にチェック☑してください。</t>
    <phoneticPr fontId="1"/>
  </si>
  <si>
    <t>改修後暖房負荷削減量</t>
    <rPh sb="0" eb="2">
      <t>カイシュウ</t>
    </rPh>
    <rPh sb="2" eb="3">
      <t>ウシ</t>
    </rPh>
    <rPh sb="3" eb="5">
      <t>ダンボウ</t>
    </rPh>
    <rPh sb="5" eb="7">
      <t>フカ</t>
    </rPh>
    <rPh sb="7" eb="10">
      <t>サクゲンリョウ</t>
    </rPh>
    <phoneticPr fontId="1"/>
  </si>
  <si>
    <t>第１－２号様式</t>
    <rPh sb="0" eb="1">
      <t>ダイ</t>
    </rPh>
    <rPh sb="4" eb="5">
      <t>ゴウ</t>
    </rPh>
    <rPh sb="5" eb="7">
      <t>ヨウシキ</t>
    </rPh>
    <phoneticPr fontId="1"/>
  </si>
  <si>
    <t>改修後暖房負荷削減量（MJ/年・㎡）</t>
    <phoneticPr fontId="1"/>
  </si>
  <si>
    <t>１２０㎡当たりの改修後暖房負荷削減量（MJ/年）</t>
    <rPh sb="4" eb="5">
      <t>ア</t>
    </rPh>
    <phoneticPr fontId="1"/>
  </si>
  <si>
    <t>①居間、台所及び食堂</t>
    <rPh sb="1" eb="3">
      <t>イマ</t>
    </rPh>
    <rPh sb="4" eb="6">
      <t>ダイドコロ</t>
    </rPh>
    <rPh sb="6" eb="7">
      <t>オヨ</t>
    </rPh>
    <rPh sb="8" eb="10">
      <t>ショクドウ</t>
    </rPh>
    <phoneticPr fontId="1"/>
  </si>
  <si>
    <t>イ　天井、壁又は床のいずれか１つ以上を断熱改修する。</t>
    <phoneticPr fontId="1"/>
  </si>
  <si>
    <t>②脱衣所</t>
    <rPh sb="1" eb="4">
      <t>ダツイジョ</t>
    </rPh>
    <phoneticPr fontId="1"/>
  </si>
  <si>
    <t>ウ　天井が外気に面し、かつ無断熱の場合は、天井の断熱改修を行う。</t>
    <rPh sb="2" eb="4">
      <t>テンジョウ</t>
    </rPh>
    <rPh sb="5" eb="7">
      <t>ガイキ</t>
    </rPh>
    <rPh sb="8" eb="9">
      <t>メン</t>
    </rPh>
    <rPh sb="13" eb="14">
      <t>ム</t>
    </rPh>
    <rPh sb="14" eb="16">
      <t>ダンネツ</t>
    </rPh>
    <rPh sb="17" eb="19">
      <t>バアイ</t>
    </rPh>
    <rPh sb="21" eb="23">
      <t>テンジョウ</t>
    </rPh>
    <rPh sb="24" eb="26">
      <t>ダンネツ</t>
    </rPh>
    <rPh sb="26" eb="28">
      <t>カイシュウ</t>
    </rPh>
    <rPh sb="29" eb="30">
      <t>オコナ</t>
    </rPh>
    <phoneticPr fontId="1"/>
  </si>
  <si>
    <t>オ　天井が外気に面し、かつ無断熱の場合は、天井の断熱改修を行う。</t>
    <rPh sb="2" eb="4">
      <t>テンジョウ</t>
    </rPh>
    <rPh sb="5" eb="7">
      <t>ガイキ</t>
    </rPh>
    <rPh sb="8" eb="9">
      <t>メン</t>
    </rPh>
    <rPh sb="13" eb="14">
      <t>ム</t>
    </rPh>
    <rPh sb="14" eb="16">
      <t>ダンネツ</t>
    </rPh>
    <rPh sb="17" eb="19">
      <t>バアイ</t>
    </rPh>
    <rPh sb="21" eb="23">
      <t>テンジョウ</t>
    </rPh>
    <rPh sb="24" eb="26">
      <t>ダンネツ</t>
    </rPh>
    <rPh sb="26" eb="28">
      <t>カイシュウ</t>
    </rPh>
    <rPh sb="29" eb="30">
      <t>オコナ</t>
    </rPh>
    <phoneticPr fontId="1"/>
  </si>
  <si>
    <t>④その他</t>
    <rPh sb="3" eb="4">
      <t>タ</t>
    </rPh>
    <phoneticPr fontId="1"/>
  </si>
  <si>
    <t>規格</t>
    <rPh sb="0" eb="2">
      <t>キカク</t>
    </rPh>
    <phoneticPr fontId="1"/>
  </si>
  <si>
    <t>②その他</t>
    <rPh sb="3" eb="4">
      <t>タ</t>
    </rPh>
    <phoneticPr fontId="1"/>
  </si>
  <si>
    <t>暖房負荷削減量計算</t>
    <rPh sb="0" eb="2">
      <t>ダンボウ</t>
    </rPh>
    <rPh sb="2" eb="4">
      <t>フカ</t>
    </rPh>
    <rPh sb="4" eb="6">
      <t>サクゲン</t>
    </rPh>
    <rPh sb="6" eb="7">
      <t>リョウ</t>
    </rPh>
    <rPh sb="7" eb="9">
      <t>ケイサン</t>
    </rPh>
    <phoneticPr fontId="1"/>
  </si>
  <si>
    <t>ガラス交換</t>
    <rPh sb="3" eb="5">
      <t>コウカン</t>
    </rPh>
    <phoneticPr fontId="1"/>
  </si>
  <si>
    <t>壁</t>
    <rPh sb="0" eb="1">
      <t>カベ</t>
    </rPh>
    <phoneticPr fontId="5"/>
  </si>
  <si>
    <t>（１）以下項目の□にチェック☑してください。</t>
    <rPh sb="3" eb="5">
      <t>イカ</t>
    </rPh>
    <phoneticPr fontId="1"/>
  </si>
  <si>
    <t>補助対象
経費</t>
    <rPh sb="0" eb="2">
      <t>ホジョ</t>
    </rPh>
    <rPh sb="2" eb="4">
      <t>タイショウ</t>
    </rPh>
    <rPh sb="5" eb="7">
      <t>ケイヒ</t>
    </rPh>
    <phoneticPr fontId="1"/>
  </si>
  <si>
    <t>補助対象外
経費</t>
    <phoneticPr fontId="1"/>
  </si>
  <si>
    <t>=</t>
    <phoneticPr fontId="1"/>
  </si>
  <si>
    <t>壁</t>
    <rPh sb="0" eb="1">
      <t>カベ</t>
    </rPh>
    <phoneticPr fontId="1"/>
  </si>
  <si>
    <t>福島県省エネルギー住宅改修補助事業　補助金交付申請書</t>
    <rPh sb="3" eb="4">
      <t>ショウ</t>
    </rPh>
    <rPh sb="9" eb="11">
      <t>ジュウタク</t>
    </rPh>
    <rPh sb="11" eb="13">
      <t>カイシュウ</t>
    </rPh>
    <rPh sb="13" eb="15">
      <t>ホジョ</t>
    </rPh>
    <rPh sb="15" eb="17">
      <t>ジギョウ</t>
    </rPh>
    <phoneticPr fontId="1"/>
  </si>
  <si>
    <t>キ　天井が外気に面し、かつ無断熱の場合は、天井の断熱改修を行う。</t>
    <rPh sb="2" eb="4">
      <t>テンジョウ</t>
    </rPh>
    <rPh sb="5" eb="7">
      <t>ガイキ</t>
    </rPh>
    <rPh sb="8" eb="9">
      <t>メン</t>
    </rPh>
    <rPh sb="13" eb="14">
      <t>ム</t>
    </rPh>
    <rPh sb="14" eb="16">
      <t>ダンネツ</t>
    </rPh>
    <rPh sb="17" eb="19">
      <t>バアイ</t>
    </rPh>
    <rPh sb="21" eb="23">
      <t>テンジョウ</t>
    </rPh>
    <rPh sb="24" eb="26">
      <t>ダンネツ</t>
    </rPh>
    <rPh sb="26" eb="28">
      <t>カイシュウ</t>
    </rPh>
    <rPh sb="29" eb="30">
      <t>オコナ</t>
    </rPh>
    <phoneticPr fontId="1"/>
  </si>
  <si>
    <t>ク　建築基準法等の関係法令に適合する。</t>
    <phoneticPr fontId="1"/>
  </si>
  <si>
    <t>窓交換</t>
    <rPh sb="0" eb="1">
      <t>マド</t>
    </rPh>
    <rPh sb="1" eb="3">
      <t>コウカン</t>
    </rPh>
    <phoneticPr fontId="5"/>
  </si>
  <si>
    <t>補助金額</t>
    <rPh sb="0" eb="2">
      <t>ホジョ</t>
    </rPh>
    <rPh sb="2" eb="3">
      <t>カネ</t>
    </rPh>
    <rPh sb="3" eb="4">
      <t>ガク</t>
    </rPh>
    <phoneticPr fontId="1"/>
  </si>
  <si>
    <t>改修後暖房負荷削減量（MJ／年）</t>
    <rPh sb="0" eb="2">
      <t>カイシュウ</t>
    </rPh>
    <rPh sb="2" eb="3">
      <t>ウシ</t>
    </rPh>
    <rPh sb="3" eb="5">
      <t>ダンボウ</t>
    </rPh>
    <rPh sb="5" eb="7">
      <t>フカ</t>
    </rPh>
    <rPh sb="7" eb="9">
      <t>サクゲン</t>
    </rPh>
    <rPh sb="9" eb="10">
      <t>リョウ</t>
    </rPh>
    <rPh sb="14" eb="15">
      <t>ネン</t>
    </rPh>
    <phoneticPr fontId="1"/>
  </si>
  <si>
    <t>その他室　</t>
    <rPh sb="2" eb="3">
      <t>タ</t>
    </rPh>
    <phoneticPr fontId="1"/>
  </si>
  <si>
    <t>２　工事施工者</t>
    <rPh sb="2" eb="4">
      <t>コウジ</t>
    </rPh>
    <rPh sb="4" eb="7">
      <t>セコウシャ</t>
    </rPh>
    <phoneticPr fontId="1"/>
  </si>
  <si>
    <t>③上記以外の室（居室及び非居室をいう）を改修する場合</t>
    <rPh sb="1" eb="3">
      <t>ジョウキ</t>
    </rPh>
    <rPh sb="3" eb="5">
      <t>イガイ</t>
    </rPh>
    <rPh sb="8" eb="10">
      <t>キョシツ</t>
    </rPh>
    <rPh sb="10" eb="11">
      <t>オヨ</t>
    </rPh>
    <rPh sb="12" eb="13">
      <t>ヒ</t>
    </rPh>
    <rPh sb="13" eb="15">
      <t>キョシツ</t>
    </rPh>
    <rPh sb="20" eb="22">
      <t>カイシュウ</t>
    </rPh>
    <rPh sb="24" eb="26">
      <t>バアイ</t>
    </rPh>
    <phoneticPr fontId="1"/>
  </si>
  <si>
    <t>室名</t>
    <rPh sb="1" eb="2">
      <t>メイ</t>
    </rPh>
    <phoneticPr fontId="5"/>
  </si>
  <si>
    <t>室名</t>
    <rPh sb="0" eb="1">
      <t>シツ</t>
    </rPh>
    <rPh sb="1" eb="2">
      <t>メイ</t>
    </rPh>
    <phoneticPr fontId="5"/>
  </si>
  <si>
    <t>＝</t>
  </si>
  <si>
    <t>×</t>
    <phoneticPr fontId="1"/>
  </si>
  <si>
    <t>○</t>
    <phoneticPr fontId="1"/>
  </si>
  <si>
    <t>↑自動計算されます。手書きの方は空欄で構いません。</t>
    <rPh sb="1" eb="3">
      <t>ジドウ</t>
    </rPh>
    <rPh sb="3" eb="5">
      <t>ケイサン</t>
    </rPh>
    <rPh sb="10" eb="12">
      <t>テガ</t>
    </rPh>
    <rPh sb="14" eb="15">
      <t>カタ</t>
    </rPh>
    <rPh sb="16" eb="18">
      <t>クウラン</t>
    </rPh>
    <rPh sb="19" eb="20">
      <t>カマ</t>
    </rPh>
    <phoneticPr fontId="1"/>
  </si>
  <si>
    <t>本申請書の記載内容に虚偽はありません。</t>
    <rPh sb="0" eb="1">
      <t>ホン</t>
    </rPh>
    <rPh sb="1" eb="4">
      <t>シンセイショ</t>
    </rPh>
    <rPh sb="5" eb="7">
      <t>キサイ</t>
    </rPh>
    <rPh sb="7" eb="9">
      <t>ナイヨウ</t>
    </rPh>
    <rPh sb="10" eb="12">
      <t>キョギ</t>
    </rPh>
    <phoneticPr fontId="1"/>
  </si>
  <si>
    <t>（参考）暖房負荷削減量（MJ／年）</t>
    <rPh sb="1" eb="3">
      <t>サンコウ</t>
    </rPh>
    <rPh sb="4" eb="6">
      <t>ダンボウ</t>
    </rPh>
    <rPh sb="6" eb="8">
      <t>フカ</t>
    </rPh>
    <rPh sb="8" eb="11">
      <t>サクゲンリョウ</t>
    </rPh>
    <rPh sb="15" eb="16">
      <t>ネン</t>
    </rPh>
    <phoneticPr fontId="1"/>
  </si>
  <si>
    <t>（参考）暖房負荷削減量（MJ／年）</t>
    <rPh sb="4" eb="6">
      <t>ダンボウ</t>
    </rPh>
    <rPh sb="6" eb="8">
      <t>フカ</t>
    </rPh>
    <rPh sb="8" eb="11">
      <t>サクゲンリョウ</t>
    </rPh>
    <rPh sb="15" eb="16">
      <t>ネン</t>
    </rPh>
    <phoneticPr fontId="1"/>
  </si>
  <si>
    <t>○</t>
    <phoneticPr fontId="1"/>
  </si>
  <si>
    <t>1室</t>
    <rPh sb="1" eb="2">
      <t>シツ</t>
    </rPh>
    <phoneticPr fontId="1"/>
  </si>
  <si>
    <t>2室</t>
    <rPh sb="1" eb="2">
      <t>シツ</t>
    </rPh>
    <phoneticPr fontId="1"/>
  </si>
  <si>
    <t>3室</t>
    <rPh sb="1" eb="2">
      <t>シツ</t>
    </rPh>
    <phoneticPr fontId="1"/>
  </si>
  <si>
    <t>4室</t>
    <rPh sb="1" eb="2">
      <t>シツ</t>
    </rPh>
    <phoneticPr fontId="1"/>
  </si>
  <si>
    <t>5室</t>
    <rPh sb="1" eb="2">
      <t>シツ</t>
    </rPh>
    <phoneticPr fontId="1"/>
  </si>
  <si>
    <t>6室</t>
    <rPh sb="1" eb="2">
      <t>シツ</t>
    </rPh>
    <phoneticPr fontId="1"/>
  </si>
  <si>
    <t>1室</t>
    <rPh sb="1" eb="2">
      <t>シツ</t>
    </rPh>
    <phoneticPr fontId="1"/>
  </si>
  <si>
    <t>2室</t>
    <rPh sb="1" eb="2">
      <t>シツ</t>
    </rPh>
    <phoneticPr fontId="1"/>
  </si>
  <si>
    <t>3室</t>
    <rPh sb="1" eb="2">
      <t>シツ</t>
    </rPh>
    <phoneticPr fontId="1"/>
  </si>
  <si>
    <t>4室</t>
    <rPh sb="1" eb="2">
      <t>シツ</t>
    </rPh>
    <phoneticPr fontId="1"/>
  </si>
  <si>
    <t>5室</t>
    <rPh sb="1" eb="2">
      <t>シツ</t>
    </rPh>
    <phoneticPr fontId="1"/>
  </si>
  <si>
    <t>6室</t>
    <rPh sb="1" eb="2">
      <t>シツ</t>
    </rPh>
    <phoneticPr fontId="1"/>
  </si>
  <si>
    <t>改修部位</t>
    <rPh sb="0" eb="1">
      <t>カイシュウ</t>
    </rPh>
    <rPh sb="1" eb="3">
      <t>ブイ</t>
    </rPh>
    <phoneticPr fontId="1"/>
  </si>
  <si>
    <t>居間</t>
    <rPh sb="0" eb="2">
      <t>イマ</t>
    </rPh>
    <phoneticPr fontId="1"/>
  </si>
  <si>
    <t>台所</t>
    <rPh sb="0" eb="2">
      <t>ダイドコロ</t>
    </rPh>
    <phoneticPr fontId="1"/>
  </si>
  <si>
    <t>食堂</t>
    <rPh sb="0" eb="2">
      <t>ショクドウ</t>
    </rPh>
    <phoneticPr fontId="1"/>
  </si>
  <si>
    <t>脱衣所</t>
    <rPh sb="0" eb="3">
      <t>ダツイジョ</t>
    </rPh>
    <phoneticPr fontId="1"/>
  </si>
  <si>
    <t>改修部位</t>
    <rPh sb="0" eb="2">
      <t>カイシュウ</t>
    </rPh>
    <rPh sb="2" eb="4">
      <t>ブイ</t>
    </rPh>
    <phoneticPr fontId="1"/>
  </si>
  <si>
    <t>居間</t>
    <rPh sb="0" eb="1">
      <t>イマ</t>
    </rPh>
    <phoneticPr fontId="1"/>
  </si>
  <si>
    <t>台所</t>
    <rPh sb="0" eb="1">
      <t>ダイドコロ</t>
    </rPh>
    <phoneticPr fontId="1"/>
  </si>
  <si>
    <t>食堂</t>
    <rPh sb="0" eb="1">
      <t>ショクドウ</t>
    </rPh>
    <phoneticPr fontId="1"/>
  </si>
  <si>
    <t>脱衣所</t>
    <rPh sb="0" eb="2">
      <t>ダツイジョ</t>
    </rPh>
    <phoneticPr fontId="1"/>
  </si>
  <si>
    <t>7室</t>
    <rPh sb="1" eb="2">
      <t>シツ</t>
    </rPh>
    <phoneticPr fontId="1"/>
  </si>
  <si>
    <t>8室</t>
    <rPh sb="1" eb="2">
      <t>シツ</t>
    </rPh>
    <phoneticPr fontId="1"/>
  </si>
  <si>
    <t>改修後暖房負荷削減量（MJ/年）</t>
    <rPh sb="0" eb="2">
      <t>カイシュウ</t>
    </rPh>
    <rPh sb="2" eb="3">
      <t>ウシ</t>
    </rPh>
    <rPh sb="3" eb="5">
      <t>ダンボウ</t>
    </rPh>
    <rPh sb="5" eb="7">
      <t>フカ</t>
    </rPh>
    <rPh sb="7" eb="9">
      <t>サクゲン</t>
    </rPh>
    <rPh sb="9" eb="10">
      <t>リョウ</t>
    </rPh>
    <rPh sb="14" eb="15">
      <t>ネン</t>
    </rPh>
    <phoneticPr fontId="1"/>
  </si>
  <si>
    <t>7室</t>
    <rPh sb="1" eb="2">
      <t>シツ</t>
    </rPh>
    <phoneticPr fontId="1"/>
  </si>
  <si>
    <t>8室</t>
    <rPh sb="1" eb="2">
      <t>シツ</t>
    </rPh>
    <phoneticPr fontId="1"/>
  </si>
  <si>
    <t>※工事費から対象外経費を除いた金額を記入</t>
    <rPh sb="1" eb="4">
      <t>コウジヒ</t>
    </rPh>
    <phoneticPr fontId="1"/>
  </si>
  <si>
    <t>年</t>
    <rPh sb="0" eb="1">
      <t>ネン</t>
    </rPh>
    <phoneticPr fontId="1"/>
  </si>
  <si>
    <t>令和</t>
    <rPh sb="0" eb="2">
      <t>レイワ</t>
    </rPh>
    <phoneticPr fontId="1"/>
  </si>
  <si>
    <t>２地域</t>
    <rPh sb="1" eb="3">
      <t>チイキ</t>
    </rPh>
    <phoneticPr fontId="5"/>
  </si>
  <si>
    <t>2地域</t>
    <rPh sb="1" eb="3">
      <t>チイキ</t>
    </rPh>
    <phoneticPr fontId="1"/>
  </si>
  <si>
    <t>2地域</t>
    <rPh sb="1" eb="3">
      <t>チイキ</t>
    </rPh>
    <phoneticPr fontId="1"/>
  </si>
  <si>
    <t>福島県暴力団排除条例に規定する暴力団員等又は社会的非難関係者に該当する者ではありません。</t>
    <rPh sb="0" eb="3">
      <t>フクシマケン</t>
    </rPh>
    <rPh sb="3" eb="6">
      <t>ボウリョクダン</t>
    </rPh>
    <rPh sb="6" eb="10">
      <t>ハイジョジョウレイ</t>
    </rPh>
    <rPh sb="11" eb="13">
      <t>キテイ</t>
    </rPh>
    <rPh sb="15" eb="20">
      <t>ボウリョクダンイントウ</t>
    </rPh>
    <rPh sb="20" eb="21">
      <t>マタ</t>
    </rPh>
    <rPh sb="22" eb="25">
      <t>シャカイテキ</t>
    </rPh>
    <rPh sb="25" eb="27">
      <t>ヒナン</t>
    </rPh>
    <rPh sb="27" eb="30">
      <t>カンケイシャ</t>
    </rPh>
    <rPh sb="31" eb="33">
      <t>ガイトウ</t>
    </rPh>
    <rPh sb="35" eb="36">
      <t>モノ</t>
    </rPh>
    <phoneticPr fontId="1"/>
  </si>
  <si>
    <t>　 福島県知事　様</t>
    <rPh sb="2" eb="5">
      <t>フクシマケン</t>
    </rPh>
    <rPh sb="5" eb="7">
      <t>チジ</t>
    </rPh>
    <rPh sb="8" eb="9">
      <t>サマ</t>
    </rPh>
    <phoneticPr fontId="1"/>
  </si>
  <si>
    <t>住宅の省エネ診断</t>
    <rPh sb="0" eb="2">
      <t>ジュウタク</t>
    </rPh>
    <rPh sb="3" eb="4">
      <t>ショウ</t>
    </rPh>
    <rPh sb="6" eb="8">
      <t>シンダン</t>
    </rPh>
    <phoneticPr fontId="1"/>
  </si>
  <si>
    <t>住宅の省エネ改修</t>
    <rPh sb="0" eb="2">
      <t>ジュウタク</t>
    </rPh>
    <rPh sb="3" eb="4">
      <t>ショウ</t>
    </rPh>
    <rPh sb="6" eb="8">
      <t>カイシュウ</t>
    </rPh>
    <phoneticPr fontId="1"/>
  </si>
  <si>
    <t>補助金の種類</t>
    <rPh sb="0" eb="3">
      <t>ホジョキン</t>
    </rPh>
    <rPh sb="4" eb="6">
      <t>シュルイ</t>
    </rPh>
    <phoneticPr fontId="1"/>
  </si>
  <si>
    <t>省エネ改修の内容
（省エネ改修の場合）</t>
    <rPh sb="0" eb="1">
      <t>ショウ</t>
    </rPh>
    <rPh sb="3" eb="5">
      <t>カイシュウ</t>
    </rPh>
    <rPh sb="6" eb="8">
      <t>ナイヨウ</t>
    </rPh>
    <rPh sb="10" eb="11">
      <t>ショウ</t>
    </rPh>
    <rPh sb="13" eb="15">
      <t>カイシュウ</t>
    </rPh>
    <rPh sb="16" eb="18">
      <t>バアイ</t>
    </rPh>
    <phoneticPr fontId="1"/>
  </si>
  <si>
    <t>【適合させる省エネレベル】</t>
    <rPh sb="1" eb="3">
      <t>テキゴウ</t>
    </rPh>
    <rPh sb="6" eb="7">
      <t>ショウ</t>
    </rPh>
    <phoneticPr fontId="1"/>
  </si>
  <si>
    <t>【改修の範囲】</t>
    <rPh sb="1" eb="3">
      <t>カイシュウ</t>
    </rPh>
    <rPh sb="4" eb="6">
      <t>ハンイ</t>
    </rPh>
    <phoneticPr fontId="1"/>
  </si>
  <si>
    <t>全体改修（省エネ基準又はZEH水準に適合する旨のBELS等の認証の添付あり）</t>
    <rPh sb="0" eb="2">
      <t>ゼンタイ</t>
    </rPh>
    <rPh sb="2" eb="4">
      <t>カイシュウ</t>
    </rPh>
    <rPh sb="5" eb="6">
      <t>ショウ</t>
    </rPh>
    <rPh sb="8" eb="10">
      <t>キジュン</t>
    </rPh>
    <rPh sb="10" eb="11">
      <t>マタ</t>
    </rPh>
    <rPh sb="15" eb="17">
      <t>スイジュン</t>
    </rPh>
    <rPh sb="18" eb="20">
      <t>テキゴウ</t>
    </rPh>
    <rPh sb="22" eb="23">
      <t>ムネ</t>
    </rPh>
    <rPh sb="28" eb="29">
      <t>トウ</t>
    </rPh>
    <rPh sb="30" eb="32">
      <t>ニンショウ</t>
    </rPh>
    <rPh sb="33" eb="35">
      <t>テンプ</t>
    </rPh>
    <phoneticPr fontId="1"/>
  </si>
  <si>
    <t>部分改修（各建材・設備等が仕様規定に適合）</t>
    <rPh sb="0" eb="2">
      <t>ブブン</t>
    </rPh>
    <rPh sb="2" eb="4">
      <t>カイシュウ</t>
    </rPh>
    <rPh sb="5" eb="6">
      <t>カク</t>
    </rPh>
    <rPh sb="6" eb="8">
      <t>ケンザイ</t>
    </rPh>
    <rPh sb="9" eb="11">
      <t>セツビ</t>
    </rPh>
    <rPh sb="11" eb="12">
      <t>トウ</t>
    </rPh>
    <rPh sb="13" eb="15">
      <t>シヨウ</t>
    </rPh>
    <rPh sb="15" eb="17">
      <t>キテイ</t>
    </rPh>
    <rPh sb="18" eb="20">
      <t>テキゴウ</t>
    </rPh>
    <phoneticPr fontId="1"/>
  </si>
  <si>
    <r>
      <rPr>
        <sz val="12"/>
        <rFont val="ＭＳ Ｐ明朝"/>
        <family val="1"/>
        <charset val="128"/>
      </rPr>
      <t>【改修する室】</t>
    </r>
    <r>
      <rPr>
        <sz val="9"/>
        <rFont val="ＭＳ Ｐ明朝"/>
        <family val="1"/>
        <charset val="128"/>
      </rPr>
      <t>※以下の全ての室にチェックした方は、様式1-1を提出してください。それ以外の方は、様式1-2を提出してください。</t>
    </r>
    <rPh sb="1" eb="3">
      <t>カイシュウ</t>
    </rPh>
    <rPh sb="5" eb="6">
      <t>シツ</t>
    </rPh>
    <rPh sb="8" eb="10">
      <t>イカ</t>
    </rPh>
    <rPh sb="11" eb="12">
      <t>スベ</t>
    </rPh>
    <rPh sb="14" eb="15">
      <t>シツ</t>
    </rPh>
    <rPh sb="22" eb="23">
      <t>カタ</t>
    </rPh>
    <rPh sb="25" eb="27">
      <t>ヨウシキ</t>
    </rPh>
    <rPh sb="31" eb="33">
      <t>テイシュツ</t>
    </rPh>
    <rPh sb="42" eb="44">
      <t>イガイ</t>
    </rPh>
    <rPh sb="45" eb="46">
      <t>カタ</t>
    </rPh>
    <rPh sb="48" eb="50">
      <t>ヨウシキ</t>
    </rPh>
    <rPh sb="54" eb="56">
      <t>テイシュツ</t>
    </rPh>
    <phoneticPr fontId="1"/>
  </si>
  <si>
    <t>居間、台所、食堂及び脱衣所の全ての室を改修する場合（20万円を補助額に加算）</t>
    <rPh sb="0" eb="2">
      <t>イマ</t>
    </rPh>
    <rPh sb="3" eb="5">
      <t>ダイドコロ</t>
    </rPh>
    <rPh sb="6" eb="8">
      <t>ショクドウ</t>
    </rPh>
    <rPh sb="8" eb="9">
      <t>オヨ</t>
    </rPh>
    <rPh sb="10" eb="13">
      <t>ダツイジョ</t>
    </rPh>
    <rPh sb="14" eb="15">
      <t>スベ</t>
    </rPh>
    <rPh sb="17" eb="18">
      <t>シツ</t>
    </rPh>
    <rPh sb="19" eb="21">
      <t>カイシュウ</t>
    </rPh>
    <rPh sb="23" eb="25">
      <t>バアイ</t>
    </rPh>
    <rPh sb="28" eb="30">
      <t>マンエン</t>
    </rPh>
    <rPh sb="31" eb="34">
      <t>ホジョガク</t>
    </rPh>
    <rPh sb="35" eb="37">
      <t>カサン</t>
    </rPh>
    <phoneticPr fontId="1"/>
  </si>
  <si>
    <t>居間、台所、食堂及び脱衣所の全ての室を改修しない場合（加算なし）</t>
    <rPh sb="0" eb="2">
      <t>イマ</t>
    </rPh>
    <rPh sb="3" eb="5">
      <t>ダイドコロ</t>
    </rPh>
    <rPh sb="6" eb="8">
      <t>ショクドウ</t>
    </rPh>
    <rPh sb="8" eb="9">
      <t>オヨ</t>
    </rPh>
    <rPh sb="10" eb="12">
      <t>ダツイ</t>
    </rPh>
    <rPh sb="12" eb="13">
      <t>ジョ</t>
    </rPh>
    <rPh sb="14" eb="15">
      <t>スベ</t>
    </rPh>
    <rPh sb="17" eb="18">
      <t>シツ</t>
    </rPh>
    <rPh sb="19" eb="21">
      <t>カイシュウ</t>
    </rPh>
    <rPh sb="24" eb="26">
      <t>バアイ</t>
    </rPh>
    <rPh sb="27" eb="29">
      <t>カサン</t>
    </rPh>
    <phoneticPr fontId="1"/>
  </si>
  <si>
    <t>既存開口部（窓・ドア）の断熱改修</t>
    <rPh sb="0" eb="2">
      <t>キゾン</t>
    </rPh>
    <rPh sb="2" eb="5">
      <t>カイコウブ</t>
    </rPh>
    <rPh sb="6" eb="7">
      <t>マド</t>
    </rPh>
    <rPh sb="12" eb="14">
      <t>ダンネツ</t>
    </rPh>
    <rPh sb="14" eb="16">
      <t>カイシュウ</t>
    </rPh>
    <phoneticPr fontId="1"/>
  </si>
  <si>
    <t>【改修する部位】</t>
    <rPh sb="1" eb="3">
      <t>カイシュウ</t>
    </rPh>
    <rPh sb="5" eb="7">
      <t>ブイ</t>
    </rPh>
    <phoneticPr fontId="1"/>
  </si>
  <si>
    <t>躯体等の断熱改修</t>
    <rPh sb="0" eb="1">
      <t>ク</t>
    </rPh>
    <rPh sb="1" eb="3">
      <t>タイトウ</t>
    </rPh>
    <rPh sb="4" eb="6">
      <t>ダンネツ</t>
    </rPh>
    <rPh sb="6" eb="8">
      <t>カイシュウ</t>
    </rPh>
    <phoneticPr fontId="1"/>
  </si>
  <si>
    <t>太陽熱利用システムの設置</t>
    <rPh sb="0" eb="3">
      <t>タイヨウネツ</t>
    </rPh>
    <rPh sb="3" eb="5">
      <t>リヨウ</t>
    </rPh>
    <rPh sb="10" eb="12">
      <t>セッチ</t>
    </rPh>
    <phoneticPr fontId="1"/>
  </si>
  <si>
    <t>高断熱浴槽の設置</t>
    <rPh sb="0" eb="3">
      <t>コウダンネツ</t>
    </rPh>
    <rPh sb="3" eb="5">
      <t>ヨクソウ</t>
    </rPh>
    <rPh sb="6" eb="8">
      <t>セッチ</t>
    </rPh>
    <phoneticPr fontId="1"/>
  </si>
  <si>
    <t>高効率給湯機の設置</t>
    <rPh sb="0" eb="3">
      <t>コウコウリツ</t>
    </rPh>
    <rPh sb="3" eb="6">
      <t>キュウトウキ</t>
    </rPh>
    <rPh sb="7" eb="9">
      <t>セッチ</t>
    </rPh>
    <phoneticPr fontId="1"/>
  </si>
  <si>
    <t>節湯水栓の設置</t>
    <rPh sb="0" eb="1">
      <t>セツ</t>
    </rPh>
    <rPh sb="1" eb="2">
      <t>トウ</t>
    </rPh>
    <rPh sb="2" eb="4">
      <t>スイセン</t>
    </rPh>
    <rPh sb="5" eb="7">
      <t>セッチ</t>
    </rPh>
    <phoneticPr fontId="1"/>
  </si>
  <si>
    <t>コージェネレーション設備の設置</t>
    <rPh sb="10" eb="12">
      <t>セツビ</t>
    </rPh>
    <rPh sb="13" eb="15">
      <t>セッチ</t>
    </rPh>
    <phoneticPr fontId="1"/>
  </si>
  <si>
    <t>蓄電池の設置</t>
    <rPh sb="0" eb="3">
      <t>チクデンチ</t>
    </rPh>
    <rPh sb="4" eb="6">
      <t>セッチ</t>
    </rPh>
    <phoneticPr fontId="1"/>
  </si>
  <si>
    <t>LED照明の設置</t>
    <rPh sb="3" eb="5">
      <t>ショウメイ</t>
    </rPh>
    <rPh sb="6" eb="8">
      <t>セッチ</t>
    </rPh>
    <phoneticPr fontId="1"/>
  </si>
  <si>
    <t>４　申請者による確認（必ず申請者自ら次の項目を確認の上、下記項目□にチェック☑してください。）</t>
    <rPh sb="2" eb="5">
      <t>シンセイシャ</t>
    </rPh>
    <rPh sb="8" eb="10">
      <t>カクニン</t>
    </rPh>
    <phoneticPr fontId="1"/>
  </si>
  <si>
    <t>補助対象工事</t>
    <rPh sb="0" eb="2">
      <t>ホジョ</t>
    </rPh>
    <rPh sb="2" eb="4">
      <t>タイショウ</t>
    </rPh>
    <rPh sb="4" eb="6">
      <t>コウジ</t>
    </rPh>
    <phoneticPr fontId="1"/>
  </si>
  <si>
    <t>既存開口部の断熱改修</t>
    <rPh sb="0" eb="2">
      <t>キゾン</t>
    </rPh>
    <rPh sb="2" eb="5">
      <t>カイコウブ</t>
    </rPh>
    <rPh sb="6" eb="8">
      <t>ダンネツ</t>
    </rPh>
    <rPh sb="8" eb="10">
      <t>カイシュウ</t>
    </rPh>
    <phoneticPr fontId="1"/>
  </si>
  <si>
    <t>ドア</t>
    <phoneticPr fontId="1"/>
  </si>
  <si>
    <t>モデル工事費</t>
    <rPh sb="3" eb="6">
      <t>コウジヒ</t>
    </rPh>
    <phoneticPr fontId="1"/>
  </si>
  <si>
    <t>数量</t>
    <rPh sb="0" eb="2">
      <t>スウリョウ</t>
    </rPh>
    <phoneticPr fontId="1"/>
  </si>
  <si>
    <t>モデル工事による工事費</t>
    <rPh sb="3" eb="5">
      <t>コウジ</t>
    </rPh>
    <rPh sb="8" eb="11">
      <t>コウジヒ</t>
    </rPh>
    <phoneticPr fontId="1"/>
  </si>
  <si>
    <t>実際の工事費</t>
    <rPh sb="0" eb="2">
      <t>ジッサイ</t>
    </rPh>
    <rPh sb="3" eb="6">
      <t>コウジヒ</t>
    </rPh>
    <phoneticPr fontId="1"/>
  </si>
  <si>
    <t>内窓設置・外窓交換</t>
    <rPh sb="0" eb="2">
      <t>ウチマド</t>
    </rPh>
    <rPh sb="2" eb="4">
      <t>セッチ</t>
    </rPh>
    <rPh sb="5" eb="7">
      <t>ソトマド</t>
    </rPh>
    <rPh sb="7" eb="9">
      <t>コウカン</t>
    </rPh>
    <phoneticPr fontId="1"/>
  </si>
  <si>
    <t>ドア交換</t>
    <rPh sb="2" eb="4">
      <t>コウカン</t>
    </rPh>
    <phoneticPr fontId="1"/>
  </si>
  <si>
    <t>大</t>
    <rPh sb="0" eb="1">
      <t>ダイ</t>
    </rPh>
    <phoneticPr fontId="1"/>
  </si>
  <si>
    <t>中</t>
    <rPh sb="0" eb="1">
      <t>チュウ</t>
    </rPh>
    <phoneticPr fontId="1"/>
  </si>
  <si>
    <t>小</t>
    <rPh sb="0" eb="1">
      <t>ショウ</t>
    </rPh>
    <phoneticPr fontId="1"/>
  </si>
  <si>
    <t>円／枚</t>
    <rPh sb="0" eb="1">
      <t>エン</t>
    </rPh>
    <rPh sb="2" eb="3">
      <t>マイ</t>
    </rPh>
    <phoneticPr fontId="1"/>
  </si>
  <si>
    <t>枚</t>
    <rPh sb="0" eb="1">
      <t>マイ</t>
    </rPh>
    <phoneticPr fontId="1"/>
  </si>
  <si>
    <t>外壁</t>
    <rPh sb="0" eb="2">
      <t>ガイヘキ</t>
    </rPh>
    <phoneticPr fontId="1"/>
  </si>
  <si>
    <t>屋根・天井</t>
    <rPh sb="0" eb="2">
      <t>ヤネ</t>
    </rPh>
    <rPh sb="3" eb="5">
      <t>テンジョウ</t>
    </rPh>
    <phoneticPr fontId="1"/>
  </si>
  <si>
    <t>A-C</t>
    <phoneticPr fontId="1"/>
  </si>
  <si>
    <t>D-F</t>
    <phoneticPr fontId="1"/>
  </si>
  <si>
    <t>既存外壁、屋根・天井、床の断熱</t>
    <rPh sb="0" eb="2">
      <t>キゾン</t>
    </rPh>
    <rPh sb="2" eb="4">
      <t>ガイヘキ</t>
    </rPh>
    <rPh sb="5" eb="7">
      <t>ヤネ</t>
    </rPh>
    <rPh sb="8" eb="10">
      <t>テンジョウ</t>
    </rPh>
    <rPh sb="11" eb="12">
      <t>ユカ</t>
    </rPh>
    <rPh sb="13" eb="15">
      <t>ダンネツ</t>
    </rPh>
    <phoneticPr fontId="1"/>
  </si>
  <si>
    <t>円／箇所</t>
    <rPh sb="0" eb="1">
      <t>エン</t>
    </rPh>
    <rPh sb="2" eb="4">
      <t>カショ</t>
    </rPh>
    <phoneticPr fontId="1"/>
  </si>
  <si>
    <t>円</t>
    <rPh sb="0" eb="1">
      <t>エン</t>
    </rPh>
    <phoneticPr fontId="1"/>
  </si>
  <si>
    <t>設備の高効率化工事</t>
    <rPh sb="0" eb="2">
      <t>セツビ</t>
    </rPh>
    <rPh sb="3" eb="7">
      <t>コウコウリツカ</t>
    </rPh>
    <rPh sb="7" eb="9">
      <t>コウジ</t>
    </rPh>
    <phoneticPr fontId="1"/>
  </si>
  <si>
    <t>太陽熱利用システム</t>
    <rPh sb="0" eb="3">
      <t>タイヨウネツ</t>
    </rPh>
    <rPh sb="3" eb="5">
      <t>リヨウ</t>
    </rPh>
    <phoneticPr fontId="1"/>
  </si>
  <si>
    <t>高断熱浴槽</t>
    <rPh sb="0" eb="3">
      <t>コウダンネツ</t>
    </rPh>
    <rPh sb="3" eb="5">
      <t>ヨクソウ</t>
    </rPh>
    <phoneticPr fontId="1"/>
  </si>
  <si>
    <t>高効率給湯機</t>
    <rPh sb="0" eb="3">
      <t>コウコウリツ</t>
    </rPh>
    <rPh sb="3" eb="6">
      <t>キュウトウキ</t>
    </rPh>
    <phoneticPr fontId="1"/>
  </si>
  <si>
    <t>節湯水栓</t>
    <rPh sb="0" eb="1">
      <t>セツ</t>
    </rPh>
    <rPh sb="1" eb="2">
      <t>トウ</t>
    </rPh>
    <rPh sb="2" eb="4">
      <t>スイセン</t>
    </rPh>
    <phoneticPr fontId="1"/>
  </si>
  <si>
    <t>コージェネレーション設備</t>
    <rPh sb="10" eb="12">
      <t>セツビ</t>
    </rPh>
    <phoneticPr fontId="1"/>
  </si>
  <si>
    <t>蓄電池</t>
    <rPh sb="0" eb="3">
      <t>チクデンチ</t>
    </rPh>
    <phoneticPr fontId="1"/>
  </si>
  <si>
    <t>LED照明</t>
    <rPh sb="3" eb="5">
      <t>ショウメイ</t>
    </rPh>
    <phoneticPr fontId="1"/>
  </si>
  <si>
    <t>円／戸</t>
    <rPh sb="0" eb="1">
      <t>エン</t>
    </rPh>
    <rPh sb="2" eb="3">
      <t>コ</t>
    </rPh>
    <phoneticPr fontId="1"/>
  </si>
  <si>
    <t>円／台</t>
    <rPh sb="0" eb="1">
      <t>エン</t>
    </rPh>
    <rPh sb="2" eb="3">
      <t>ダイ</t>
    </rPh>
    <phoneticPr fontId="1"/>
  </si>
  <si>
    <t>台</t>
    <rPh sb="0" eb="1">
      <t>ダイ</t>
    </rPh>
    <phoneticPr fontId="1"/>
  </si>
  <si>
    <t>式</t>
    <rPh sb="0" eb="1">
      <t>シキ</t>
    </rPh>
    <phoneticPr fontId="1"/>
  </si>
  <si>
    <t>－</t>
    <phoneticPr fontId="1"/>
  </si>
  <si>
    <t>Ａ．断熱性能に関する改修工事</t>
    <rPh sb="2" eb="4">
      <t>ダンネツ</t>
    </rPh>
    <rPh sb="4" eb="6">
      <t>セイノウ</t>
    </rPh>
    <rPh sb="7" eb="8">
      <t>カン</t>
    </rPh>
    <rPh sb="10" eb="12">
      <t>カイシュウ</t>
    </rPh>
    <rPh sb="12" eb="14">
      <t>コウジ</t>
    </rPh>
    <phoneticPr fontId="1"/>
  </si>
  <si>
    <t>Ｂ．設備改修工事等</t>
    <rPh sb="2" eb="4">
      <t>セツビ</t>
    </rPh>
    <rPh sb="4" eb="6">
      <t>カイシュウ</t>
    </rPh>
    <rPh sb="6" eb="8">
      <t>コウジ</t>
    </rPh>
    <rPh sb="8" eb="9">
      <t>トウ</t>
    </rPh>
    <phoneticPr fontId="1"/>
  </si>
  <si>
    <t>Ａの合計額</t>
    <rPh sb="2" eb="5">
      <t>ゴウケイガク</t>
    </rPh>
    <phoneticPr fontId="1"/>
  </si>
  <si>
    <t>Ｂの合計額</t>
    <rPh sb="2" eb="5">
      <t>ゴウケイガク</t>
    </rPh>
    <phoneticPr fontId="1"/>
  </si>
  <si>
    <t>省エネ改修（省エネ基準）補助対象事業費　内訳書</t>
    <rPh sb="0" eb="1">
      <t>ショウ</t>
    </rPh>
    <rPh sb="3" eb="5">
      <t>カイシュウ</t>
    </rPh>
    <rPh sb="6" eb="7">
      <t>ショウ</t>
    </rPh>
    <rPh sb="9" eb="11">
      <t>キジュン</t>
    </rPh>
    <rPh sb="12" eb="14">
      <t>ホジョ</t>
    </rPh>
    <rPh sb="14" eb="16">
      <t>タイショウ</t>
    </rPh>
    <rPh sb="16" eb="19">
      <t>ジギョウヒ</t>
    </rPh>
    <rPh sb="20" eb="23">
      <t>ウチワケショ</t>
    </rPh>
    <phoneticPr fontId="1"/>
  </si>
  <si>
    <t>省エネ改修（ZEH水準）補助対象事業費　内訳書</t>
    <rPh sb="0" eb="1">
      <t>ショウ</t>
    </rPh>
    <rPh sb="3" eb="5">
      <t>カイシュウ</t>
    </rPh>
    <rPh sb="9" eb="11">
      <t>スイジュン</t>
    </rPh>
    <rPh sb="12" eb="14">
      <t>ホジョ</t>
    </rPh>
    <rPh sb="14" eb="16">
      <t>タイショウ</t>
    </rPh>
    <rPh sb="16" eb="19">
      <t>ジギョウヒ</t>
    </rPh>
    <rPh sb="20" eb="23">
      <t>ウチワケショ</t>
    </rPh>
    <phoneticPr fontId="1"/>
  </si>
  <si>
    <t>省エネ診断　補助対象事業費　内訳書</t>
    <rPh sb="0" eb="1">
      <t>ショウ</t>
    </rPh>
    <rPh sb="3" eb="5">
      <t>シンダン</t>
    </rPh>
    <rPh sb="6" eb="8">
      <t>ホジョ</t>
    </rPh>
    <rPh sb="8" eb="10">
      <t>タイショウ</t>
    </rPh>
    <rPh sb="10" eb="13">
      <t>ジギョウヒ</t>
    </rPh>
    <rPh sb="14" eb="17">
      <t>ウチワケショ</t>
    </rPh>
    <phoneticPr fontId="1"/>
  </si>
  <si>
    <t>項目</t>
    <rPh sb="0" eb="2">
      <t>コウモク</t>
    </rPh>
    <phoneticPr fontId="1"/>
  </si>
  <si>
    <t>診断に係る費用①</t>
    <rPh sb="0" eb="2">
      <t>シンダン</t>
    </rPh>
    <rPh sb="3" eb="4">
      <t>カカ</t>
    </rPh>
    <rPh sb="5" eb="7">
      <t>ヒヨウ</t>
    </rPh>
    <phoneticPr fontId="1"/>
  </si>
  <si>
    <t>調査に係る費用②</t>
    <rPh sb="0" eb="2">
      <t>チョウサ</t>
    </rPh>
    <rPh sb="3" eb="4">
      <t>カカ</t>
    </rPh>
    <rPh sb="5" eb="7">
      <t>ヒヨウ</t>
    </rPh>
    <phoneticPr fontId="1"/>
  </si>
  <si>
    <t>BELSの評価・認証に係る費用③</t>
    <rPh sb="5" eb="7">
      <t>ヒョウカ</t>
    </rPh>
    <rPh sb="8" eb="10">
      <t>ニンショウ</t>
    </rPh>
    <rPh sb="11" eb="12">
      <t>カカ</t>
    </rPh>
    <rPh sb="13" eb="15">
      <t>ヒヨウ</t>
    </rPh>
    <phoneticPr fontId="1"/>
  </si>
  <si>
    <t>合計（①＋②＋③）</t>
    <rPh sb="0" eb="2">
      <t>ゴウケイ</t>
    </rPh>
    <phoneticPr fontId="1"/>
  </si>
  <si>
    <t>費用</t>
    <rPh sb="0" eb="2">
      <t>ヒヨウ</t>
    </rPh>
    <phoneticPr fontId="1"/>
  </si>
  <si>
    <t>５　補助要件</t>
    <rPh sb="2" eb="4">
      <t>ホジョ</t>
    </rPh>
    <rPh sb="4" eb="6">
      <t>ヨウケン</t>
    </rPh>
    <phoneticPr fontId="1"/>
  </si>
  <si>
    <t>６　改修概要</t>
    <rPh sb="2" eb="4">
      <t>カイシュウ</t>
    </rPh>
    <rPh sb="4" eb="6">
      <t>ガイヨウ</t>
    </rPh>
    <phoneticPr fontId="1"/>
  </si>
  <si>
    <t>７　補助金額</t>
    <rPh sb="2" eb="4">
      <t>ホジョ</t>
    </rPh>
    <rPh sb="4" eb="6">
      <t>キンガクケイヒ</t>
    </rPh>
    <phoneticPr fontId="1"/>
  </si>
  <si>
    <t>８　断熱改修概要</t>
    <rPh sb="2" eb="4">
      <t>ダンネツ</t>
    </rPh>
    <rPh sb="4" eb="6">
      <t>カイシュウ</t>
    </rPh>
    <rPh sb="6" eb="8">
      <t>ガイヨウ</t>
    </rPh>
    <phoneticPr fontId="1"/>
  </si>
  <si>
    <t>７　補助金額</t>
    <rPh sb="2" eb="4">
      <t>ホジョ</t>
    </rPh>
    <rPh sb="4" eb="6">
      <t>キンガク</t>
    </rPh>
    <phoneticPr fontId="1"/>
  </si>
  <si>
    <t>複数の見積による</t>
    <rPh sb="0" eb="2">
      <t>フクスウ</t>
    </rPh>
    <rPh sb="3" eb="5">
      <t>ミツモリ</t>
    </rPh>
    <phoneticPr fontId="1"/>
  </si>
  <si>
    <t>補助対象経費</t>
    <rPh sb="0" eb="2">
      <t>ホジョ</t>
    </rPh>
    <rPh sb="2" eb="4">
      <t>タイショウ</t>
    </rPh>
    <rPh sb="4" eb="6">
      <t>ケイヒ</t>
    </rPh>
    <phoneticPr fontId="1"/>
  </si>
  <si>
    <t xml:space="preserve">補助対象経費 </t>
    <rPh sb="0" eb="2">
      <t>ホジョ</t>
    </rPh>
    <rPh sb="2" eb="4">
      <t>タイショウ</t>
    </rPh>
    <rPh sb="4" eb="6">
      <t>ケイヒ</t>
    </rPh>
    <phoneticPr fontId="1"/>
  </si>
  <si>
    <t>第１－３号様式</t>
    <rPh sb="0" eb="1">
      <t>ダイ</t>
    </rPh>
    <rPh sb="4" eb="5">
      <t>ゴウ</t>
    </rPh>
    <rPh sb="5" eb="7">
      <t>ヨウシキ</t>
    </rPh>
    <phoneticPr fontId="1"/>
  </si>
  <si>
    <t>第１－４号様式</t>
    <rPh sb="0" eb="1">
      <t>ダイ</t>
    </rPh>
    <rPh sb="4" eb="5">
      <t>ゴウ</t>
    </rPh>
    <rPh sb="5" eb="7">
      <t>ヨウシキ</t>
    </rPh>
    <phoneticPr fontId="1"/>
  </si>
  <si>
    <t>第１－５号様式</t>
    <rPh sb="0" eb="1">
      <t>ダイ</t>
    </rPh>
    <rPh sb="4" eb="5">
      <t>ゴウ</t>
    </rPh>
    <rPh sb="5" eb="7">
      <t>ヨウシキ</t>
    </rPh>
    <phoneticPr fontId="1"/>
  </si>
  <si>
    <t>戸</t>
  </si>
  <si>
    <t>戸</t>
    <rPh sb="0" eb="1">
      <t>コ</t>
    </rPh>
    <phoneticPr fontId="1"/>
  </si>
  <si>
    <t>日</t>
    <rPh sb="0" eb="1">
      <t>ヒ</t>
    </rPh>
    <phoneticPr fontId="1"/>
  </si>
  <si>
    <t>月</t>
    <rPh sb="0" eb="1">
      <t>ガツ</t>
    </rPh>
    <phoneticPr fontId="1"/>
  </si>
  <si>
    <t>□</t>
    <phoneticPr fontId="1"/>
  </si>
  <si>
    <t>地域区分</t>
    <rPh sb="0" eb="4">
      <t>チイキクブン</t>
    </rPh>
    <phoneticPr fontId="1"/>
  </si>
  <si>
    <t>省エネレベル</t>
    <rPh sb="0" eb="1">
      <t>ショウ</t>
    </rPh>
    <phoneticPr fontId="1"/>
  </si>
  <si>
    <t>省エネ基準</t>
    <rPh sb="0" eb="1">
      <t>ショウ</t>
    </rPh>
    <rPh sb="3" eb="5">
      <t>キジュン</t>
    </rPh>
    <phoneticPr fontId="1"/>
  </si>
  <si>
    <t>ZEH水準</t>
    <rPh sb="3" eb="5">
      <t>スイジュン</t>
    </rPh>
    <phoneticPr fontId="1"/>
  </si>
  <si>
    <t>Ａにかかる「モデル工事費」又は「実際の工事費」の合計のうち、いずれか低い額　×　補助率（23％）</t>
    <rPh sb="9" eb="12">
      <t>コウジヒ</t>
    </rPh>
    <rPh sb="13" eb="14">
      <t>マタ</t>
    </rPh>
    <rPh sb="16" eb="18">
      <t>ジッサイ</t>
    </rPh>
    <rPh sb="19" eb="22">
      <t>コウジヒ</t>
    </rPh>
    <rPh sb="24" eb="26">
      <t>ゴウケイ</t>
    </rPh>
    <rPh sb="34" eb="35">
      <t>ヒク</t>
    </rPh>
    <rPh sb="36" eb="37">
      <t>ガク</t>
    </rPh>
    <rPh sb="40" eb="43">
      <t>ホジョリツ</t>
    </rPh>
    <phoneticPr fontId="1"/>
  </si>
  <si>
    <t>Ｂにかかる「モデル工事費」又は「実際の工事費」の合計のうち、いずれか低い額　×　補助率（23％）</t>
    <phoneticPr fontId="1"/>
  </si>
  <si>
    <t>補助金交付額の小計（①）</t>
    <rPh sb="0" eb="5">
      <t>ホジョキンコウフ</t>
    </rPh>
    <rPh sb="5" eb="6">
      <t>ガク</t>
    </rPh>
    <rPh sb="7" eb="9">
      <t>ショウケイ</t>
    </rPh>
    <phoneticPr fontId="1"/>
  </si>
  <si>
    <t>補助金交付額の小計（②）</t>
    <rPh sb="0" eb="6">
      <t>ホジョキンコウフガク</t>
    </rPh>
    <rPh sb="7" eb="9">
      <t>ショウケイ</t>
    </rPh>
    <phoneticPr fontId="1"/>
  </si>
  <si>
    <t>③＋④</t>
    <phoneticPr fontId="1"/>
  </si>
  <si>
    <t>補助金交付額の合計（③）</t>
    <rPh sb="0" eb="2">
      <t>ホジョ</t>
    </rPh>
    <rPh sb="2" eb="3">
      <t>キン</t>
    </rPh>
    <rPh sb="3" eb="6">
      <t>コウフガク</t>
    </rPh>
    <rPh sb="7" eb="9">
      <t>ゴウケイ</t>
    </rPh>
    <phoneticPr fontId="1"/>
  </si>
  <si>
    <t>　</t>
    <phoneticPr fontId="1"/>
  </si>
  <si>
    <t>補助申請額（⑤）</t>
    <rPh sb="0" eb="2">
      <t>ホジョ</t>
    </rPh>
    <rPh sb="2" eb="5">
      <t>シンセイガク</t>
    </rPh>
    <phoneticPr fontId="1"/>
  </si>
  <si>
    <t>居間、台所、食堂及び脱衣所の全ての室を改修する場合　最大200,000円</t>
    <rPh sb="26" eb="28">
      <t>サイダイ</t>
    </rPh>
    <phoneticPr fontId="1"/>
  </si>
  <si>
    <t>加算額（④）</t>
    <rPh sb="0" eb="3">
      <t>カサンガク</t>
    </rPh>
    <phoneticPr fontId="1"/>
  </si>
  <si>
    <t>補助要綱別表３に定める提出書類及び添付書類に不足がないことを確認しました。</t>
    <rPh sb="0" eb="2">
      <t>ホジョ</t>
    </rPh>
    <rPh sb="2" eb="4">
      <t>ヨウコウ</t>
    </rPh>
    <rPh sb="4" eb="6">
      <t>ベッピョウ</t>
    </rPh>
    <rPh sb="8" eb="9">
      <t>サダ</t>
    </rPh>
    <rPh sb="11" eb="13">
      <t>テイシュツ</t>
    </rPh>
    <rPh sb="13" eb="15">
      <t>ショルイ</t>
    </rPh>
    <rPh sb="15" eb="16">
      <t>オヨ</t>
    </rPh>
    <rPh sb="17" eb="19">
      <t>テンプ</t>
    </rPh>
    <rPh sb="19" eb="21">
      <t>ショルイ</t>
    </rPh>
    <rPh sb="22" eb="24">
      <t>フソク</t>
    </rPh>
    <rPh sb="30" eb="32">
      <t>カクニン</t>
    </rPh>
    <phoneticPr fontId="1"/>
  </si>
  <si>
    <t>これまで国・地方自治体から本事業と同様の補助金を受けたことはありません。</t>
    <rPh sb="4" eb="5">
      <t>クニ</t>
    </rPh>
    <rPh sb="13" eb="16">
      <t>ホンジギョウ</t>
    </rPh>
    <phoneticPr fontId="1"/>
  </si>
  <si>
    <t>事業を実施する住宅は、現にZEH水準を満たしていません。</t>
    <rPh sb="0" eb="2">
      <t>ジギョウ</t>
    </rPh>
    <rPh sb="3" eb="5">
      <t>ジッシ</t>
    </rPh>
    <rPh sb="7" eb="9">
      <t>ジュウタク</t>
    </rPh>
    <rPh sb="11" eb="12">
      <t>ゲン</t>
    </rPh>
    <rPh sb="16" eb="18">
      <t>スイジュン</t>
    </rPh>
    <rPh sb="19" eb="20">
      <t>ミ</t>
    </rPh>
    <phoneticPr fontId="1"/>
  </si>
  <si>
    <t>無断熱から省エネ基準・ZEH水準、又は省エネ基準からZEH水準への改修を行います。</t>
    <rPh sb="0" eb="3">
      <t>ムダンネツ</t>
    </rPh>
    <rPh sb="5" eb="6">
      <t>ショウ</t>
    </rPh>
    <rPh sb="8" eb="10">
      <t>キジュン</t>
    </rPh>
    <rPh sb="14" eb="16">
      <t>スイジュン</t>
    </rPh>
    <rPh sb="17" eb="18">
      <t>マタ</t>
    </rPh>
    <rPh sb="19" eb="20">
      <t>ショウ</t>
    </rPh>
    <rPh sb="22" eb="24">
      <t>キジュン</t>
    </rPh>
    <rPh sb="29" eb="31">
      <t>スイジュン</t>
    </rPh>
    <rPh sb="33" eb="35">
      <t>カイシュウ</t>
    </rPh>
    <rPh sb="36" eb="37">
      <t>オコナ</t>
    </rPh>
    <phoneticPr fontId="1"/>
  </si>
  <si>
    <t>住宅の所有者又は賃借者です。</t>
    <rPh sb="0" eb="2">
      <t>ジュウタク</t>
    </rPh>
    <rPh sb="3" eb="6">
      <t>ショユウシャ</t>
    </rPh>
    <rPh sb="6" eb="7">
      <t>マタ</t>
    </rPh>
    <rPh sb="8" eb="11">
      <t>チンシャクシャ</t>
    </rPh>
    <phoneticPr fontId="1"/>
  </si>
  <si>
    <t>県税の滞納はありません。</t>
    <rPh sb="0" eb="2">
      <t>ケンゼイ</t>
    </rPh>
    <rPh sb="3" eb="5">
      <t>タイノウ</t>
    </rPh>
    <phoneticPr fontId="1"/>
  </si>
  <si>
    <t>地震に対する安全性が補助要綱別表１－２に定めるいずれかの方法により確認できています。</t>
    <rPh sb="0" eb="2">
      <t>ジシン</t>
    </rPh>
    <rPh sb="3" eb="4">
      <t>タイ</t>
    </rPh>
    <rPh sb="6" eb="9">
      <t>アンゼンセイ</t>
    </rPh>
    <rPh sb="10" eb="12">
      <t>ホジョ</t>
    </rPh>
    <rPh sb="12" eb="14">
      <t>ヨウコウ</t>
    </rPh>
    <rPh sb="14" eb="16">
      <t>ベッピョウ</t>
    </rPh>
    <rPh sb="20" eb="21">
      <t>サダ</t>
    </rPh>
    <rPh sb="28" eb="30">
      <t>ホウホウ</t>
    </rPh>
    <rPh sb="33" eb="35">
      <t>カクニン</t>
    </rPh>
    <phoneticPr fontId="1"/>
  </si>
  <si>
    <t>本事業の省エネ診断及び省エネ改修の補助を受けるのはいずれも１回目です。</t>
    <phoneticPr fontId="1"/>
  </si>
  <si>
    <t>３　補助申請内容（該当する項目の□にチェック☑して確認してください。）</t>
    <rPh sb="2" eb="4">
      <t>ホジョ</t>
    </rPh>
    <rPh sb="4" eb="6">
      <t>シンセイ</t>
    </rPh>
    <rPh sb="6" eb="8">
      <t>ナイヨウ</t>
    </rPh>
    <phoneticPr fontId="1"/>
  </si>
  <si>
    <t>事業を実施する住宅は、県内に所在する戸建住宅です。</t>
    <rPh sb="0" eb="2">
      <t>ジギョウ</t>
    </rPh>
    <rPh sb="3" eb="5">
      <t>ジッシ</t>
    </rPh>
    <rPh sb="7" eb="9">
      <t>ジュウタク</t>
    </rPh>
    <phoneticPr fontId="1"/>
  </si>
  <si>
    <t>設備の効率化に係る補助額は開口部や躯体等の断熱化に係る補助額以下となっています。</t>
    <rPh sb="13" eb="16">
      <t>カイコウブ</t>
    </rPh>
    <rPh sb="17" eb="20">
      <t>クタイトウ</t>
    </rPh>
    <phoneticPr fontId="1"/>
  </si>
  <si>
    <t>台所</t>
    <rPh sb="0" eb="2">
      <t>ダイドコロ</t>
    </rPh>
    <phoneticPr fontId="1"/>
  </si>
  <si>
    <t>食堂</t>
    <rPh sb="0" eb="2">
      <t>ショクドウ</t>
    </rPh>
    <phoneticPr fontId="1"/>
  </si>
  <si>
    <t>脱衣所</t>
    <rPh sb="0" eb="3">
      <t>ダツイジョ</t>
    </rPh>
    <phoneticPr fontId="1"/>
  </si>
  <si>
    <t>居間</t>
    <rPh sb="0" eb="2">
      <t>イマ</t>
    </rPh>
    <phoneticPr fontId="1"/>
  </si>
  <si>
    <t>自ら居住するために行う断熱改修工事等であり、建築基準法等の関係法令に適合しています。</t>
    <rPh sb="0" eb="1">
      <t>ミズカ</t>
    </rPh>
    <rPh sb="2" eb="4">
      <t>キョジュウ</t>
    </rPh>
    <rPh sb="9" eb="10">
      <t>オコナ</t>
    </rPh>
    <rPh sb="11" eb="13">
      <t>ダンネツ</t>
    </rPh>
    <rPh sb="13" eb="15">
      <t>カイシュウ</t>
    </rPh>
    <rPh sb="15" eb="17">
      <t>コウジ</t>
    </rPh>
    <rPh sb="17" eb="18">
      <t>トウ</t>
    </rPh>
    <rPh sb="22" eb="24">
      <t>ケンチク</t>
    </rPh>
    <rPh sb="24" eb="26">
      <t>キジュン</t>
    </rPh>
    <rPh sb="26" eb="27">
      <t>ホウ</t>
    </rPh>
    <rPh sb="27" eb="28">
      <t>トウ</t>
    </rPh>
    <rPh sb="29" eb="31">
      <t>カンケイ</t>
    </rPh>
    <rPh sb="31" eb="33">
      <t>ホウレイ</t>
    </rPh>
    <rPh sb="34" eb="36">
      <t>テキゴウ</t>
    </rPh>
    <phoneticPr fontId="1"/>
  </si>
  <si>
    <t>□</t>
    <phoneticPr fontId="1"/>
  </si>
  <si>
    <t>ガラス交換</t>
    <rPh sb="3" eb="5">
      <t>コウカン</t>
    </rPh>
    <phoneticPr fontId="5"/>
  </si>
  <si>
    <t>円／㎥</t>
    <rPh sb="0" eb="1">
      <t>エン</t>
    </rPh>
    <phoneticPr fontId="1"/>
  </si>
  <si>
    <t>㎥</t>
  </si>
  <si>
    <t>①＋②（②が①より大きい場合は、①×２）　（上限額1,025,000円（寒冷地の場合1,200,000円））</t>
    <rPh sb="9" eb="10">
      <t>オオ</t>
    </rPh>
    <rPh sb="12" eb="14">
      <t>バアイ</t>
    </rPh>
    <phoneticPr fontId="1"/>
  </si>
  <si>
    <t>①＋②（②が①より大きい場合は、①×２）　（上限額766,000円（寒冷地の場合950,000円））</t>
    <rPh sb="9" eb="10">
      <t>オオ</t>
    </rPh>
    <rPh sb="12" eb="14">
      <t>バアイ</t>
    </rPh>
    <phoneticPr fontId="1"/>
  </si>
  <si>
    <t>以下全ての項目について該当する必要があります。ただし、別表１－１の基準を満たしている場合は、断熱改修不要です。</t>
    <rPh sb="0" eb="2">
      <t>イカ</t>
    </rPh>
    <rPh sb="2" eb="3">
      <t>スベ</t>
    </rPh>
    <rPh sb="5" eb="7">
      <t>コウモク</t>
    </rPh>
    <rPh sb="11" eb="13">
      <t>ガイトウ</t>
    </rPh>
    <rPh sb="15" eb="17">
      <t>ヒツヨウ</t>
    </rPh>
    <phoneticPr fontId="1"/>
  </si>
  <si>
    <t>ア　窓全てに内窓設置、窓交換又はガラス交換による断熱改修を行う。</t>
    <rPh sb="11" eb="12">
      <t>マド</t>
    </rPh>
    <rPh sb="14" eb="15">
      <t>マタ</t>
    </rPh>
    <rPh sb="19" eb="21">
      <t>コウカン</t>
    </rPh>
    <rPh sb="24" eb="26">
      <t>ダンネツ</t>
    </rPh>
    <rPh sb="26" eb="28">
      <t>カイシュウ</t>
    </rPh>
    <phoneticPr fontId="1"/>
  </si>
  <si>
    <t>エ　窓全てに内窓設置、窓交換又はガラス交換による断熱改修を行う。</t>
    <rPh sb="3" eb="4">
      <t>スベ</t>
    </rPh>
    <rPh sb="11" eb="12">
      <t>マド</t>
    </rPh>
    <rPh sb="14" eb="15">
      <t>マタ</t>
    </rPh>
    <rPh sb="19" eb="21">
      <t>コウカン</t>
    </rPh>
    <rPh sb="24" eb="26">
      <t>ダンネツ</t>
    </rPh>
    <rPh sb="26" eb="28">
      <t>カイシュウ</t>
    </rPh>
    <phoneticPr fontId="1"/>
  </si>
  <si>
    <t>カ　窓全てに内窓設置、窓交換又はガラス交換による断熱改修を行う。</t>
    <rPh sb="11" eb="12">
      <t>マド</t>
    </rPh>
    <rPh sb="14" eb="15">
      <t>マタ</t>
    </rPh>
    <rPh sb="19" eb="21">
      <t>コウカン</t>
    </rPh>
    <phoneticPr fontId="1"/>
  </si>
  <si>
    <t>※完了予定日は、原則として申請年度内の日付を記入してください。</t>
    <rPh sb="1" eb="3">
      <t>カンリョウ</t>
    </rPh>
    <rPh sb="3" eb="5">
      <t>ヨテイ</t>
    </rPh>
    <rPh sb="5" eb="6">
      <t>ヒ</t>
    </rPh>
    <rPh sb="13" eb="15">
      <t>シンセイ</t>
    </rPh>
    <rPh sb="15" eb="17">
      <t>ネンド</t>
    </rPh>
    <rPh sb="17" eb="18">
      <t>ナイ</t>
    </rPh>
    <phoneticPr fontId="1"/>
  </si>
  <si>
    <t>省エネ基準相当</t>
    <rPh sb="0" eb="1">
      <t>ショウ</t>
    </rPh>
    <rPh sb="3" eb="5">
      <t>キジュン</t>
    </rPh>
    <rPh sb="5" eb="7">
      <t>ソウトウ</t>
    </rPh>
    <phoneticPr fontId="1"/>
  </si>
  <si>
    <t>ZEH 水準相当</t>
    <rPh sb="4" eb="6">
      <t>スイジュン</t>
    </rPh>
    <rPh sb="6" eb="8">
      <t>ソウトウ</t>
    </rPh>
    <phoneticPr fontId="1"/>
  </si>
  <si>
    <t>補助金交付申請額（上限22,000円）
（①＋②＋③）×2/3
（1,000円未満は切り捨て）</t>
    <rPh sb="0" eb="3">
      <t>ホジョキン</t>
    </rPh>
    <rPh sb="3" eb="5">
      <t>コウフ</t>
    </rPh>
    <rPh sb="5" eb="7">
      <t>シンセイ</t>
    </rPh>
    <rPh sb="7" eb="8">
      <t>ガク</t>
    </rPh>
    <rPh sb="9" eb="11">
      <t>ジョウゲン</t>
    </rPh>
    <rPh sb="17" eb="18">
      <t>エン</t>
    </rPh>
    <rPh sb="38" eb="39">
      <t>エン</t>
    </rPh>
    <rPh sb="39" eb="41">
      <t>ミマン</t>
    </rPh>
    <rPh sb="42" eb="43">
      <t>キ</t>
    </rPh>
    <rPh sb="44" eb="45">
      <t>ス</t>
    </rPh>
    <phoneticPr fontId="1"/>
  </si>
  <si>
    <t>イ　複数の開口部の断熱改修を行う。</t>
    <rPh sb="2" eb="4">
      <t>フクスウ</t>
    </rPh>
    <rPh sb="5" eb="8">
      <t>カイコウブ</t>
    </rPh>
    <rPh sb="9" eb="11">
      <t>ダンネツ</t>
    </rPh>
    <rPh sb="11" eb="13">
      <t>カイシュウ</t>
    </rPh>
    <rPh sb="14" eb="15">
      <t>オコナ</t>
    </rPh>
    <phoneticPr fontId="1"/>
  </si>
  <si>
    <t>ア　補助要綱別表１－１に定める改修を行う。</t>
    <rPh sb="2" eb="6">
      <t>ホジョヨウコウ</t>
    </rPh>
    <rPh sb="6" eb="8">
      <t>ベッピョウ</t>
    </rPh>
    <rPh sb="12" eb="13">
      <t>サダ</t>
    </rPh>
    <rPh sb="15" eb="17">
      <t>カイシュウ</t>
    </rPh>
    <rPh sb="18" eb="19">
      <t>オコナ</t>
    </rPh>
    <phoneticPr fontId="1"/>
  </si>
  <si>
    <t>①改修の内容</t>
    <rPh sb="1" eb="3">
      <t>カイシュウ</t>
    </rPh>
    <rPh sb="4" eb="6">
      <t>ナイヨウ</t>
    </rPh>
    <phoneticPr fontId="1"/>
  </si>
  <si>
    <t>※補助を受けるには各補助要件を満たすことが必要です。</t>
    <rPh sb="1" eb="3">
      <t>ホジョ</t>
    </rPh>
    <rPh sb="4" eb="5">
      <t>ウ</t>
    </rPh>
    <rPh sb="9" eb="10">
      <t>カク</t>
    </rPh>
    <rPh sb="10" eb="12">
      <t>ホジョ</t>
    </rPh>
    <rPh sb="12" eb="14">
      <t>ヨウケン</t>
    </rPh>
    <rPh sb="15" eb="16">
      <t>ミ</t>
    </rPh>
    <rPh sb="21" eb="23">
      <t>ヒツヨウ</t>
    </rPh>
    <phoneticPr fontId="1"/>
  </si>
  <si>
    <t>建築基準法等の関係法令に適合する。</t>
    <phoneticPr fontId="1"/>
  </si>
  <si>
    <t>以下の項目について該当する必要があります。</t>
    <rPh sb="0" eb="2">
      <t>イカ</t>
    </rPh>
    <rPh sb="3" eb="5">
      <t>コウモク</t>
    </rPh>
    <rPh sb="9" eb="11">
      <t>ガイトウ</t>
    </rPh>
    <rPh sb="13" eb="15">
      <t>ヒツヨウ</t>
    </rPh>
    <phoneticPr fontId="1"/>
  </si>
  <si>
    <r>
      <t xml:space="preserve">【注意事項】
</t>
    </r>
    <r>
      <rPr>
        <sz val="11"/>
        <color rgb="FFFF0000"/>
        <rFont val="ＭＳ Ｐ明朝"/>
        <family val="1"/>
        <charset val="128"/>
      </rPr>
      <t>実際の工事費欄には材料費・施工費・諸経費相当額・消費税相当額を含む金額を記入してください。</t>
    </r>
    <r>
      <rPr>
        <sz val="11"/>
        <rFont val="ＭＳ Ｐ明朝"/>
        <family val="1"/>
        <charset val="128"/>
      </rPr>
      <t xml:space="preserve">
③～⑤ ： 千円未満切り捨て
④は③の額と同額以下となること</t>
    </r>
    <rPh sb="1" eb="5">
      <t>チュウイジコウ</t>
    </rPh>
    <rPh sb="7" eb="9">
      <t>ジッサイ</t>
    </rPh>
    <rPh sb="10" eb="14">
      <t>コウジヒラン</t>
    </rPh>
    <rPh sb="16" eb="19">
      <t>ザイリョウヒ</t>
    </rPh>
    <rPh sb="20" eb="23">
      <t>セコウヒ</t>
    </rPh>
    <rPh sb="24" eb="27">
      <t>ショケイヒ</t>
    </rPh>
    <rPh sb="27" eb="30">
      <t>ソウトウガク</t>
    </rPh>
    <rPh sb="31" eb="34">
      <t>ショウヒゼイ</t>
    </rPh>
    <rPh sb="34" eb="37">
      <t>ソウトウガク</t>
    </rPh>
    <rPh sb="38" eb="39">
      <t>フク</t>
    </rPh>
    <rPh sb="40" eb="42">
      <t>キンガク</t>
    </rPh>
    <rPh sb="43" eb="45">
      <t>キニュウ</t>
    </rPh>
    <rPh sb="72" eb="73">
      <t>ガク</t>
    </rPh>
    <rPh sb="74" eb="76">
      <t>ドウガク</t>
    </rPh>
    <rPh sb="76" eb="78">
      <t>イカ</t>
    </rPh>
    <phoneticPr fontId="1"/>
  </si>
  <si>
    <r>
      <t xml:space="preserve">【注意事項】
</t>
    </r>
    <r>
      <rPr>
        <sz val="11"/>
        <color rgb="FFFF0000"/>
        <rFont val="ＭＳ Ｐ明朝"/>
        <family val="1"/>
        <charset val="128"/>
      </rPr>
      <t>実際の工事費欄には材料費・施工費・諸経費相当額・消費税相当額を含む金額を記入してください。</t>
    </r>
    <r>
      <rPr>
        <sz val="11"/>
        <rFont val="ＭＳ Ｐ明朝"/>
        <family val="1"/>
        <charset val="128"/>
      </rPr>
      <t xml:space="preserve">
③～⑤ ： 千円未満切り捨て
④は③の額と同額以下となること</t>
    </r>
    <rPh sb="1" eb="5">
      <t>チュウイジコウ</t>
    </rPh>
    <rPh sb="59" eb="61">
      <t>センエン</t>
    </rPh>
    <rPh sb="61" eb="63">
      <t>ミマン</t>
    </rPh>
    <rPh sb="63" eb="64">
      <t>キ</t>
    </rPh>
    <rPh sb="65" eb="66">
      <t>ス</t>
    </rPh>
    <rPh sb="72" eb="73">
      <t>ガク</t>
    </rPh>
    <rPh sb="74" eb="76">
      <t>ドウガク</t>
    </rPh>
    <rPh sb="76" eb="78">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</si>
</sst>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quot;円&quot;"/>
    <numFmt numFmtId="177" formatCode="#,##0_ "/>
    <numFmt numFmtId="178" formatCode="General&quot;階&quot;"/>
    <numFmt numFmtId="179" formatCode="#,##0_);[Red]\(#,##0\)"/>
    <numFmt numFmtId="180" formatCode="0.0_);[Red]\(0.0\)"/>
    <numFmt numFmtId="181" formatCode="\(\ \ &quot;築&quot;\ \ General&quot;年&quot;\ \ \)"/>
    <numFmt numFmtId="182" formatCode="#,##0.0_);[Red]\(#,##0.0\)"/>
    <numFmt numFmtId="183" formatCode="0.0_ "/>
    <numFmt numFmtId="184" formatCode="#,##0.00_ "/>
    <numFmt numFmtId="185" formatCode="0.00\ &quot;㎡&quot;"/>
    <numFmt numFmtId="186" formatCode="0.0\ &quot;MJ&quot;"/>
    <numFmt numFmtId="187" formatCode="General\ &quot;㎡&quot;"/>
    <numFmt numFmtId="188" formatCode="#,##0.0_ "/>
    <numFmt numFmtId="189" formatCode="[$-411]ggg\ e\ &quot;年&quot;\ m\ &quot;月&quot;\ d\ &quot;日&quot;"/>
    <numFmt numFmtId="190" formatCode="0_);[Red]\(0\)"/>
    <numFmt numFmtId="191" formatCode="#,##0.0;[Red]\-#,##0.0"/>
    <numFmt numFmtId="192" formatCode="0.0"/>
  </numFmts>
  <fonts count="21" x14ac:knownFonts="1">
    <font>
      <sz val="11"/>
      <color theme="1"/>
      <name val="ＭＳ Ｐゴシック"/>
      <family val="2"/>
      <scheme val="minor"/>
    </font>
    <font>
      <sz val="6"/>
      <name val="ＭＳ Ｐゴシック"/>
      <family val="3"/>
      <charset val="128"/>
      <scheme val="minor"/>
    </font>
    <font>
      <sz val="6"/>
      <name val="ＭＳ 明朝"/>
      <family val="1"/>
      <charset val="128"/>
    </font>
    <font>
      <sz val="12"/>
      <name val="ＭＳ Ｐ明朝"/>
      <family val="1"/>
      <charset val="128"/>
    </font>
    <font>
      <sz val="12"/>
      <name val="ＭＳ Ｐゴシック"/>
      <family val="3"/>
      <charset val="128"/>
    </font>
    <font>
      <sz val="6"/>
      <name val="ＭＳ Ｐゴシック"/>
      <family val="3"/>
      <charset val="128"/>
    </font>
    <font>
      <sz val="11"/>
      <name val="ＭＳ Ｐ明朝"/>
      <family val="1"/>
      <charset val="128"/>
    </font>
    <font>
      <b/>
      <sz val="12"/>
      <name val="ＭＳ Ｐ明朝"/>
      <family val="1"/>
      <charset val="128"/>
    </font>
    <font>
      <b/>
      <sz val="14"/>
      <name val="ＭＳ Ｐ明朝"/>
      <family val="1"/>
      <charset val="128"/>
    </font>
    <font>
      <sz val="11"/>
      <name val="ＭＳ Ｐゴシック"/>
      <family val="3"/>
      <charset val="128"/>
    </font>
    <font>
      <sz val="8"/>
      <name val="ＭＳ Ｐ明朝"/>
      <family val="1"/>
      <charset val="128"/>
    </font>
    <font>
      <sz val="16"/>
      <name val="ＭＳ Ｐ明朝"/>
      <family val="1"/>
      <charset val="128"/>
    </font>
    <font>
      <b/>
      <sz val="16"/>
      <name val="ＭＳ Ｐ明朝"/>
      <family val="1"/>
      <charset val="128"/>
    </font>
    <font>
      <sz val="10"/>
      <name val="ＭＳ Ｐ明朝"/>
      <family val="1"/>
      <charset val="128"/>
    </font>
    <font>
      <sz val="10.5"/>
      <name val="ＭＳ Ｐ明朝"/>
      <family val="1"/>
      <charset val="128"/>
    </font>
    <font>
      <sz val="13"/>
      <name val="ＭＳ Ｐ明朝"/>
      <family val="1"/>
      <charset val="128"/>
    </font>
    <font>
      <sz val="9"/>
      <name val="ＭＳ Ｐ明朝"/>
      <family val="1"/>
      <charset val="128"/>
    </font>
    <font>
      <b/>
      <sz val="15"/>
      <name val="ＭＳ Ｐ明朝"/>
      <family val="1"/>
      <charset val="128"/>
    </font>
    <font>
      <sz val="11"/>
      <name val="ＭＳ 明朝"/>
      <family val="1"/>
      <charset val="128"/>
    </font>
    <font>
      <sz val="11"/>
      <color theme="1"/>
      <name val="ＭＳ Ｐゴシック"/>
      <family val="2"/>
      <scheme val="minor"/>
    </font>
    <font>
      <sz val="11"/>
      <color rgb="FFFF0000"/>
      <name val="ＭＳ Ｐ明朝"/>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7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style="thin">
        <color auto="1"/>
      </right>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style="thin">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bottom style="medium">
        <color indexed="64"/>
      </bottom>
      <diagonal/>
    </border>
    <border>
      <left/>
      <right style="dotted">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dotted">
        <color indexed="64"/>
      </right>
      <top style="thin">
        <color indexed="64"/>
      </top>
      <bottom/>
      <diagonal/>
    </border>
    <border>
      <left/>
      <right style="dotted">
        <color indexed="64"/>
      </right>
      <top style="double">
        <color indexed="64"/>
      </top>
      <bottom style="thin">
        <color indexed="64"/>
      </bottom>
      <diagonal/>
    </border>
    <border>
      <left/>
      <right style="dotted">
        <color indexed="64"/>
      </right>
      <top style="thin">
        <color indexed="64"/>
      </top>
      <bottom style="double">
        <color indexed="64"/>
      </bottom>
      <diagonal/>
    </border>
    <border>
      <left/>
      <right style="dotted">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double">
        <color indexed="64"/>
      </bottom>
      <diagonal/>
    </border>
    <border>
      <left/>
      <right style="thin">
        <color auto="1"/>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medium">
        <color indexed="64"/>
      </bottom>
      <diagonal/>
    </border>
  </borders>
  <cellStyleXfs count="3">
    <xf numFmtId="0" fontId="0" fillId="0" borderId="0"/>
    <xf numFmtId="0" fontId="9" fillId="0" borderId="0"/>
    <xf numFmtId="38" fontId="19" fillId="0" borderId="0" applyFont="0" applyFill="0" applyBorder="0" applyAlignment="0" applyProtection="0">
      <alignment vertical="center"/>
    </xf>
  </cellStyleXfs>
  <cellXfs count="526">
    <xf numFmtId="0" fontId="0" fillId="0" borderId="0" xfId="0"/>
    <xf numFmtId="0" fontId="3" fillId="0" borderId="0" xfId="0" applyFont="1" applyFill="1" applyBorder="1" applyAlignment="1">
      <alignment horizontal="justify" vertical="center" wrapText="1"/>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3" fillId="0" borderId="3" xfId="0" applyFont="1" applyBorder="1" applyAlignment="1">
      <alignment horizontal="center" vertical="center" wrapText="1"/>
    </xf>
    <xf numFmtId="0" fontId="4" fillId="0" borderId="0" xfId="1" applyFont="1" applyAlignment="1">
      <alignment vertical="center"/>
    </xf>
    <xf numFmtId="0" fontId="3" fillId="0" borderId="0" xfId="1" applyFont="1" applyAlignment="1">
      <alignment vertical="center"/>
    </xf>
    <xf numFmtId="0" fontId="3" fillId="0" borderId="5" xfId="0" applyFont="1" applyFill="1" applyBorder="1" applyAlignment="1">
      <alignment horizontal="left" vertical="center"/>
    </xf>
    <xf numFmtId="0" fontId="3" fillId="0" borderId="0" xfId="1" applyFont="1" applyAlignment="1">
      <alignment horizontal="left" vertical="center"/>
    </xf>
    <xf numFmtId="0" fontId="3" fillId="0" borderId="0" xfId="1" applyFont="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31" xfId="1" applyFont="1" applyBorder="1" applyAlignment="1">
      <alignment horizontal="center" vertical="center"/>
    </xf>
    <xf numFmtId="0" fontId="3" fillId="0" borderId="32" xfId="1" applyFont="1" applyBorder="1" applyAlignment="1">
      <alignment horizontal="center" vertical="center"/>
    </xf>
    <xf numFmtId="0" fontId="3" fillId="0" borderId="34" xfId="1" applyFont="1" applyBorder="1" applyAlignment="1">
      <alignment horizontal="center" vertical="center"/>
    </xf>
    <xf numFmtId="0" fontId="3" fillId="0" borderId="0" xfId="1" applyFont="1" applyFill="1" applyBorder="1" applyAlignment="1">
      <alignment horizontal="right" vertical="center"/>
    </xf>
    <xf numFmtId="0" fontId="3" fillId="0" borderId="0" xfId="1" applyFont="1" applyFill="1" applyBorder="1" applyAlignment="1">
      <alignment horizontal="center" vertical="center"/>
    </xf>
    <xf numFmtId="0" fontId="3" fillId="0" borderId="28" xfId="1" applyFont="1" applyBorder="1" applyAlignment="1">
      <alignment horizontal="center" vertical="center"/>
    </xf>
    <xf numFmtId="0" fontId="3" fillId="0" borderId="30" xfId="1" applyFont="1" applyBorder="1" applyAlignment="1">
      <alignment horizontal="center" vertical="center"/>
    </xf>
    <xf numFmtId="0" fontId="3" fillId="0" borderId="25" xfId="1" applyFont="1" applyBorder="1" applyAlignment="1">
      <alignment horizontal="center" vertical="center"/>
    </xf>
    <xf numFmtId="0" fontId="3" fillId="0" borderId="26" xfId="1" applyFont="1" applyBorder="1" applyAlignment="1">
      <alignment horizontal="center" vertical="center"/>
    </xf>
    <xf numFmtId="0" fontId="3" fillId="0" borderId="2" xfId="1" applyFont="1" applyFill="1" applyBorder="1" applyAlignment="1">
      <alignment horizontal="left" vertical="center"/>
    </xf>
    <xf numFmtId="0" fontId="3" fillId="0" borderId="15" xfId="1" applyFont="1" applyFill="1" applyBorder="1" applyAlignment="1">
      <alignment horizontal="center" vertical="center"/>
    </xf>
    <xf numFmtId="0" fontId="3" fillId="0" borderId="27" xfId="1" applyFont="1" applyBorder="1" applyAlignment="1">
      <alignment horizontal="center" vertical="center"/>
    </xf>
    <xf numFmtId="0" fontId="3" fillId="0" borderId="18" xfId="1" applyFont="1" applyFill="1" applyBorder="1" applyAlignment="1">
      <alignment horizontal="left" vertical="center"/>
    </xf>
    <xf numFmtId="0" fontId="3" fillId="0" borderId="18" xfId="1" applyFont="1" applyFill="1" applyBorder="1" applyAlignment="1">
      <alignment horizontal="center" vertical="center"/>
    </xf>
    <xf numFmtId="0" fontId="3" fillId="0" borderId="24" xfId="1" applyFont="1" applyBorder="1" applyAlignment="1">
      <alignment horizontal="center" vertical="center"/>
    </xf>
    <xf numFmtId="0" fontId="3" fillId="0" borderId="20" xfId="1" applyFont="1" applyFill="1" applyBorder="1" applyAlignment="1">
      <alignment horizontal="center" vertical="center"/>
    </xf>
    <xf numFmtId="0" fontId="3" fillId="0" borderId="0" xfId="1" applyFont="1" applyAlignment="1">
      <alignment horizontal="right" vertical="center"/>
    </xf>
    <xf numFmtId="0" fontId="3" fillId="0" borderId="0" xfId="1" applyFont="1" applyFill="1" applyAlignment="1">
      <alignment horizontal="center" vertical="center"/>
    </xf>
    <xf numFmtId="0" fontId="3" fillId="0" borderId="0" xfId="1" applyFont="1" applyFill="1" applyAlignment="1">
      <alignment vertical="center"/>
    </xf>
    <xf numFmtId="183" fontId="3" fillId="0" borderId="2" xfId="1" applyNumberFormat="1" applyFont="1" applyBorder="1" applyAlignment="1">
      <alignment vertical="center"/>
    </xf>
    <xf numFmtId="0" fontId="11" fillId="0" borderId="0" xfId="1" applyFont="1" applyBorder="1" applyAlignment="1">
      <alignment horizontal="center" vertical="center"/>
    </xf>
    <xf numFmtId="185" fontId="11" fillId="0" borderId="0" xfId="1" applyNumberFormat="1" applyFont="1" applyBorder="1" applyAlignment="1">
      <alignment vertical="center" shrinkToFit="1"/>
    </xf>
    <xf numFmtId="179" fontId="11" fillId="0" borderId="0" xfId="1" applyNumberFormat="1" applyFont="1" applyBorder="1" applyAlignment="1">
      <alignment vertical="center"/>
    </xf>
    <xf numFmtId="0" fontId="3" fillId="0" borderId="7" xfId="1" applyFont="1" applyFill="1" applyBorder="1" applyAlignment="1">
      <alignment horizontal="left" vertical="center"/>
    </xf>
    <xf numFmtId="0" fontId="11" fillId="0" borderId="44" xfId="1" applyFont="1" applyBorder="1" applyAlignment="1">
      <alignment horizontal="center" vertical="center"/>
    </xf>
    <xf numFmtId="179" fontId="11" fillId="0" borderId="45" xfId="1" applyNumberFormat="1" applyFont="1" applyBorder="1" applyAlignment="1">
      <alignment vertical="center" shrinkToFit="1"/>
    </xf>
    <xf numFmtId="180" fontId="11" fillId="0" borderId="43" xfId="1" applyNumberFormat="1" applyFont="1" applyBorder="1" applyAlignment="1">
      <alignment vertical="center" shrinkToFit="1"/>
    </xf>
    <xf numFmtId="185" fontId="11" fillId="0" borderId="44" xfId="1" applyNumberFormat="1" applyFont="1" applyBorder="1" applyAlignment="1">
      <alignment vertical="center" shrinkToFit="1"/>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vertical="center"/>
    </xf>
    <xf numFmtId="0" fontId="4" fillId="0" borderId="0" xfId="0" applyFont="1" applyAlignment="1">
      <alignment horizontal="left" vertical="center"/>
    </xf>
    <xf numFmtId="180" fontId="3" fillId="0" borderId="0" xfId="1" applyNumberFormat="1" applyFont="1" applyBorder="1" applyAlignment="1">
      <alignment horizontal="center" vertical="center" shrinkToFit="1"/>
    </xf>
    <xf numFmtId="0" fontId="3" fillId="0" borderId="0" xfId="1" applyFont="1" applyBorder="1" applyAlignment="1">
      <alignment vertical="center"/>
    </xf>
    <xf numFmtId="179" fontId="3" fillId="0" borderId="45" xfId="1" applyNumberFormat="1" applyFont="1" applyBorder="1" applyAlignment="1">
      <alignment vertical="center"/>
    </xf>
    <xf numFmtId="179" fontId="3" fillId="0" borderId="44" xfId="1" applyNumberFormat="1" applyFont="1" applyBorder="1" applyAlignment="1">
      <alignment horizontal="center" vertical="center"/>
    </xf>
    <xf numFmtId="183" fontId="13" fillId="0" borderId="2" xfId="1" applyNumberFormat="1" applyFont="1" applyBorder="1" applyAlignment="1">
      <alignment vertical="center"/>
    </xf>
    <xf numFmtId="0" fontId="13" fillId="0" borderId="2" xfId="1" applyFont="1" applyBorder="1" applyAlignment="1">
      <alignment horizontal="center" vertical="center"/>
    </xf>
    <xf numFmtId="177" fontId="3" fillId="0" borderId="2" xfId="1" applyNumberFormat="1" applyFont="1" applyBorder="1" applyAlignment="1">
      <alignment vertical="center" shrinkToFit="1"/>
    </xf>
    <xf numFmtId="177" fontId="3" fillId="0" borderId="6" xfId="1" applyNumberFormat="1" applyFont="1" applyBorder="1" applyAlignment="1">
      <alignment vertical="center" shrinkToFit="1"/>
    </xf>
    <xf numFmtId="177" fontId="3" fillId="0" borderId="18" xfId="1" applyNumberFormat="1" applyFont="1" applyBorder="1" applyAlignment="1">
      <alignment vertical="center" shrinkToFit="1"/>
    </xf>
    <xf numFmtId="177" fontId="3" fillId="0" borderId="20" xfId="1" applyNumberFormat="1" applyFont="1" applyBorder="1" applyAlignment="1">
      <alignment vertical="center" shrinkToFit="1"/>
    </xf>
    <xf numFmtId="177" fontId="3" fillId="0" borderId="7" xfId="1" applyNumberFormat="1" applyFont="1" applyBorder="1" applyAlignment="1">
      <alignment vertical="center" shrinkToFit="1"/>
    </xf>
    <xf numFmtId="0" fontId="3" fillId="0" borderId="6" xfId="1" applyFont="1" applyBorder="1" applyAlignment="1">
      <alignment horizontal="center" vertical="center" shrinkToFit="1"/>
    </xf>
    <xf numFmtId="180" fontId="11" fillId="0" borderId="60" xfId="1" applyNumberFormat="1" applyFont="1" applyBorder="1" applyAlignment="1">
      <alignment horizontal="center" vertical="center"/>
    </xf>
    <xf numFmtId="0" fontId="4" fillId="0" borderId="0" xfId="0" applyFont="1" applyBorder="1" applyAlignment="1">
      <alignment horizontal="left" vertical="center"/>
    </xf>
    <xf numFmtId="0" fontId="3" fillId="0" borderId="0" xfId="0" applyFont="1" applyFill="1"/>
    <xf numFmtId="0" fontId="7" fillId="0" borderId="0" xfId="0" applyFont="1" applyFill="1" applyBorder="1" applyAlignment="1">
      <alignment vertical="center" wrapText="1"/>
    </xf>
    <xf numFmtId="0" fontId="3" fillId="0" borderId="0" xfId="0" applyFont="1" applyFill="1" applyAlignment="1">
      <alignment horizontal="center" vertical="center"/>
    </xf>
    <xf numFmtId="0" fontId="7" fillId="0" borderId="0" xfId="0" applyFont="1" applyFill="1" applyBorder="1" applyAlignment="1">
      <alignment horizontal="justify" vertical="center" wrapText="1"/>
    </xf>
    <xf numFmtId="0" fontId="3" fillId="0" borderId="0" xfId="0" applyFont="1" applyFill="1" applyBorder="1" applyAlignment="1">
      <alignment horizontal="center" vertical="center"/>
    </xf>
    <xf numFmtId="0" fontId="3" fillId="0" borderId="0" xfId="0" applyFont="1" applyAlignment="1">
      <alignment vertical="center"/>
    </xf>
    <xf numFmtId="0" fontId="3" fillId="0" borderId="0" xfId="0" quotePrefix="1" applyFont="1" applyFill="1" applyAlignment="1">
      <alignment horizontal="center" vertical="center"/>
    </xf>
    <xf numFmtId="0" fontId="6" fillId="0" borderId="0" xfId="0" applyFont="1" applyAlignment="1">
      <alignment horizontal="center" vertical="center"/>
    </xf>
    <xf numFmtId="0" fontId="6" fillId="0" borderId="0" xfId="0" applyFont="1"/>
    <xf numFmtId="0" fontId="3" fillId="0" borderId="23" xfId="0" quotePrefix="1"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3" fillId="0" borderId="2" xfId="0" quotePrefix="1" applyFont="1" applyFill="1" applyBorder="1" applyAlignment="1">
      <alignment horizontal="center" vertical="center"/>
    </xf>
    <xf numFmtId="0" fontId="6" fillId="0" borderId="2" xfId="0" applyFont="1" applyBorder="1" applyAlignment="1">
      <alignment horizontal="center" vertical="center"/>
    </xf>
    <xf numFmtId="0" fontId="6" fillId="0" borderId="23" xfId="0" applyFont="1" applyBorder="1" applyAlignment="1">
      <alignment horizontal="center" vertical="center"/>
    </xf>
    <xf numFmtId="179" fontId="6" fillId="0" borderId="2" xfId="0" applyNumberFormat="1" applyFont="1" applyBorder="1" applyAlignment="1">
      <alignment horizontal="center" vertical="center" shrinkToFit="1"/>
    </xf>
    <xf numFmtId="182" fontId="6" fillId="0" borderId="24" xfId="0" applyNumberFormat="1" applyFont="1" applyBorder="1" applyAlignment="1">
      <alignment horizontal="right" vertical="center" shrinkToFit="1"/>
    </xf>
    <xf numFmtId="182" fontId="6" fillId="0" borderId="25" xfId="0" applyNumberFormat="1" applyFont="1" applyBorder="1" applyAlignment="1">
      <alignment horizontal="right" vertical="center" shrinkToFit="1"/>
    </xf>
    <xf numFmtId="182" fontId="6" fillId="0" borderId="26" xfId="0" applyNumberFormat="1" applyFont="1" applyBorder="1" applyAlignment="1">
      <alignment horizontal="right" vertical="center" shrinkToFit="1"/>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179" fontId="6" fillId="0" borderId="6" xfId="0" applyNumberFormat="1" applyFont="1" applyBorder="1" applyAlignment="1">
      <alignment horizontal="center" vertical="center" shrinkToFit="1"/>
    </xf>
    <xf numFmtId="182" fontId="6" fillId="0" borderId="37" xfId="0" applyNumberFormat="1" applyFont="1" applyBorder="1" applyAlignment="1">
      <alignment horizontal="right" vertical="center" shrinkToFit="1"/>
    </xf>
    <xf numFmtId="182" fontId="6" fillId="0" borderId="38" xfId="0" applyNumberFormat="1" applyFont="1" applyBorder="1" applyAlignment="1">
      <alignment horizontal="right" vertical="center" shrinkToFit="1"/>
    </xf>
    <xf numFmtId="182" fontId="6" fillId="0" borderId="39" xfId="0" applyNumberFormat="1" applyFont="1" applyBorder="1" applyAlignment="1">
      <alignment horizontal="right" vertical="center" shrinkToFi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6" fillId="0" borderId="18" xfId="0" applyNumberFormat="1" applyFont="1" applyBorder="1" applyAlignment="1">
      <alignment horizontal="center" vertical="center" shrinkToFit="1"/>
    </xf>
    <xf numFmtId="182" fontId="6" fillId="0" borderId="40" xfId="0" applyNumberFormat="1" applyFont="1" applyBorder="1" applyAlignment="1">
      <alignment horizontal="right" vertical="center" shrinkToFit="1"/>
    </xf>
    <xf numFmtId="182" fontId="6" fillId="0" borderId="41" xfId="0" applyNumberFormat="1" applyFont="1" applyBorder="1" applyAlignment="1">
      <alignment horizontal="right" vertical="center" shrinkToFit="1"/>
    </xf>
    <xf numFmtId="182" fontId="6" fillId="0" borderId="42" xfId="0" applyNumberFormat="1" applyFont="1" applyBorder="1" applyAlignment="1">
      <alignment horizontal="right" vertical="center" shrinkToFit="1"/>
    </xf>
    <xf numFmtId="179" fontId="6" fillId="0" borderId="20" xfId="0" applyNumberFormat="1" applyFont="1" applyBorder="1" applyAlignment="1">
      <alignment horizontal="center" vertical="center" shrinkToFit="1"/>
    </xf>
    <xf numFmtId="182" fontId="6" fillId="0" borderId="31" xfId="0" applyNumberFormat="1" applyFont="1" applyBorder="1" applyAlignment="1">
      <alignment horizontal="right" vertical="center" shrinkToFit="1"/>
    </xf>
    <xf numFmtId="182" fontId="6" fillId="0" borderId="32" xfId="0" applyNumberFormat="1" applyFont="1" applyBorder="1" applyAlignment="1">
      <alignment horizontal="right" vertical="center" shrinkToFit="1"/>
    </xf>
    <xf numFmtId="182" fontId="6" fillId="0" borderId="34" xfId="0" applyNumberFormat="1" applyFont="1" applyBorder="1" applyAlignment="1">
      <alignment horizontal="right" vertical="center" shrinkToFit="1"/>
    </xf>
    <xf numFmtId="179" fontId="6" fillId="0" borderId="7" xfId="0" applyNumberFormat="1" applyFont="1" applyBorder="1" applyAlignment="1">
      <alignment horizontal="center" vertical="center" shrinkToFit="1"/>
    </xf>
    <xf numFmtId="182" fontId="6" fillId="0" borderId="27" xfId="0" applyNumberFormat="1" applyFont="1" applyBorder="1" applyAlignment="1">
      <alignment horizontal="right" vertical="center" shrinkToFit="1"/>
    </xf>
    <xf numFmtId="182" fontId="6" fillId="0" borderId="28" xfId="0" applyNumberFormat="1" applyFont="1" applyBorder="1" applyAlignment="1">
      <alignment horizontal="right" vertical="center" shrinkToFit="1"/>
    </xf>
    <xf numFmtId="182" fontId="6" fillId="0" borderId="30" xfId="0" applyNumberFormat="1" applyFont="1" applyBorder="1" applyAlignment="1">
      <alignment horizontal="right" vertical="center" shrinkToFit="1"/>
    </xf>
    <xf numFmtId="0" fontId="3" fillId="0" borderId="25" xfId="0" applyFont="1" applyFill="1" applyBorder="1" applyAlignment="1">
      <alignment horizontal="center"/>
    </xf>
    <xf numFmtId="0" fontId="3" fillId="0" borderId="26" xfId="0" applyFont="1" applyFill="1" applyBorder="1" applyAlignment="1">
      <alignment horizontal="center"/>
    </xf>
    <xf numFmtId="0" fontId="6" fillId="0" borderId="0" xfId="0" applyFont="1" applyBorder="1" applyAlignment="1">
      <alignment horizontal="center" vertical="center"/>
    </xf>
    <xf numFmtId="0" fontId="6" fillId="0" borderId="24" xfId="0" applyFont="1" applyBorder="1" applyAlignment="1">
      <alignment shrinkToFit="1"/>
    </xf>
    <xf numFmtId="0" fontId="6" fillId="0" borderId="25" xfId="0" applyFont="1" applyBorder="1" applyAlignment="1">
      <alignment shrinkToFit="1"/>
    </xf>
    <xf numFmtId="0" fontId="6" fillId="0" borderId="26" xfId="0" applyFont="1" applyBorder="1" applyAlignment="1">
      <alignment shrinkToFi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xf>
    <xf numFmtId="177" fontId="3" fillId="0" borderId="2" xfId="0" applyNumberFormat="1" applyFont="1" applyFill="1" applyBorder="1" applyAlignment="1">
      <alignment horizontal="right" shrinkToFit="1"/>
    </xf>
    <xf numFmtId="177" fontId="6" fillId="0" borderId="2" xfId="0" applyNumberFormat="1" applyFont="1" applyBorder="1" applyAlignment="1">
      <alignment shrinkToFit="1"/>
    </xf>
    <xf numFmtId="0" fontId="3" fillId="0" borderId="13" xfId="0" applyFont="1" applyFill="1" applyBorder="1" applyAlignment="1">
      <alignment vertical="center"/>
    </xf>
    <xf numFmtId="177" fontId="3" fillId="0" borderId="2" xfId="0" applyNumberFormat="1" applyFont="1" applyFill="1" applyBorder="1" applyAlignment="1">
      <alignment shrinkToFit="1"/>
    </xf>
    <xf numFmtId="177" fontId="6" fillId="0" borderId="6" xfId="0" applyNumberFormat="1" applyFont="1" applyBorder="1" applyAlignment="1">
      <alignment shrinkToFit="1"/>
    </xf>
    <xf numFmtId="0" fontId="6" fillId="0" borderId="38" xfId="0" applyFont="1" applyBorder="1" applyAlignment="1">
      <alignment shrinkToFit="1"/>
    </xf>
    <xf numFmtId="0" fontId="6" fillId="0" borderId="39" xfId="0" applyFont="1" applyBorder="1" applyAlignment="1">
      <alignment shrinkToFit="1"/>
    </xf>
    <xf numFmtId="0" fontId="6" fillId="0" borderId="41" xfId="0" applyFont="1" applyBorder="1" applyAlignment="1">
      <alignment shrinkToFit="1"/>
    </xf>
    <xf numFmtId="0" fontId="6" fillId="0" borderId="42" xfId="0" applyFont="1" applyBorder="1" applyAlignment="1">
      <alignment shrinkToFit="1"/>
    </xf>
    <xf numFmtId="0" fontId="6" fillId="0" borderId="32" xfId="0" applyFont="1" applyBorder="1" applyAlignment="1">
      <alignment shrinkToFit="1"/>
    </xf>
    <xf numFmtId="0" fontId="6" fillId="0" borderId="34" xfId="0" applyFont="1" applyBorder="1" applyAlignment="1">
      <alignment shrinkToFit="1"/>
    </xf>
    <xf numFmtId="0" fontId="6" fillId="0" borderId="28" xfId="0" applyFont="1" applyBorder="1" applyAlignment="1">
      <alignment shrinkToFit="1"/>
    </xf>
    <xf numFmtId="0" fontId="6" fillId="0" borderId="30" xfId="0" applyFont="1" applyBorder="1" applyAlignment="1">
      <alignment shrinkToFit="1"/>
    </xf>
    <xf numFmtId="0" fontId="3" fillId="0" borderId="0" xfId="0" quotePrefix="1" applyFont="1" applyFill="1" applyBorder="1" applyAlignment="1">
      <alignment vertical="center"/>
    </xf>
    <xf numFmtId="0" fontId="3" fillId="0" borderId="14" xfId="0" quotePrefix="1" applyFont="1" applyFill="1" applyBorder="1" applyAlignment="1">
      <alignment vertical="center"/>
    </xf>
    <xf numFmtId="0" fontId="3" fillId="0" borderId="3" xfId="0" quotePrefix="1" applyFont="1" applyFill="1" applyBorder="1" applyAlignment="1">
      <alignment vertical="center"/>
    </xf>
    <xf numFmtId="0" fontId="3" fillId="0" borderId="4" xfId="0" quotePrefix="1" applyFont="1" applyFill="1" applyBorder="1" applyAlignment="1">
      <alignment vertical="center"/>
    </xf>
    <xf numFmtId="0" fontId="3" fillId="0" borderId="5" xfId="0" quotePrefix="1" applyFont="1" applyFill="1" applyBorder="1" applyAlignment="1">
      <alignment vertical="center"/>
    </xf>
    <xf numFmtId="0" fontId="6" fillId="0" borderId="14" xfId="0" applyFont="1" applyBorder="1" applyAlignment="1">
      <alignment horizontal="center" vertical="center"/>
    </xf>
    <xf numFmtId="0" fontId="6" fillId="0" borderId="6" xfId="0" applyFont="1" applyBorder="1" applyAlignment="1">
      <alignment vertical="center"/>
    </xf>
    <xf numFmtId="0" fontId="6" fillId="0" borderId="16" xfId="0" applyFont="1" applyBorder="1" applyAlignment="1">
      <alignment vertical="center"/>
    </xf>
    <xf numFmtId="0" fontId="6" fillId="0" borderId="7" xfId="0" applyFont="1" applyBorder="1" applyAlignment="1">
      <alignment vertical="center"/>
    </xf>
    <xf numFmtId="0" fontId="3" fillId="0" borderId="0" xfId="0" applyFont="1" applyAlignment="1">
      <alignment horizontal="justify"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vertical="center"/>
    </xf>
    <xf numFmtId="0" fontId="3" fillId="0" borderId="4" xfId="0" applyFont="1" applyBorder="1" applyAlignment="1">
      <alignment vertical="center"/>
    </xf>
    <xf numFmtId="181" fontId="3" fillId="0" borderId="5" xfId="0" applyNumberFormat="1" applyFont="1" applyBorder="1" applyAlignment="1">
      <alignment vertical="center"/>
    </xf>
    <xf numFmtId="0" fontId="3" fillId="0" borderId="2" xfId="0" applyFont="1" applyBorder="1" applyAlignment="1">
      <alignment horizontal="center" vertical="center"/>
    </xf>
    <xf numFmtId="0" fontId="3" fillId="0" borderId="0" xfId="0" applyFont="1" applyFill="1" applyBorder="1" applyAlignment="1">
      <alignment horizontal="center" vertical="center" wrapText="1"/>
    </xf>
    <xf numFmtId="58" fontId="7" fillId="0" borderId="0" xfId="0" applyNumberFormat="1" applyFont="1" applyBorder="1" applyAlignment="1">
      <alignment vertical="center"/>
    </xf>
    <xf numFmtId="0" fontId="13" fillId="0" borderId="0" xfId="0" applyFont="1" applyBorder="1" applyAlignment="1">
      <alignment vertical="center" wrapText="1"/>
    </xf>
    <xf numFmtId="0" fontId="6" fillId="0" borderId="0" xfId="0" applyFont="1" applyAlignment="1">
      <alignment horizontal="left" vertical="center"/>
    </xf>
    <xf numFmtId="0" fontId="17" fillId="0" borderId="0" xfId="0" applyFont="1" applyFill="1" applyBorder="1" applyAlignment="1">
      <alignment horizontal="left" vertical="center"/>
    </xf>
    <xf numFmtId="0" fontId="6" fillId="0" borderId="5" xfId="0" applyFont="1" applyBorder="1" applyAlignment="1">
      <alignment horizontal="center" vertical="center"/>
    </xf>
    <xf numFmtId="179" fontId="11" fillId="0" borderId="0" xfId="1" applyNumberFormat="1" applyFont="1" applyBorder="1" applyAlignment="1">
      <alignment vertical="center" shrinkToFit="1"/>
    </xf>
    <xf numFmtId="0" fontId="3" fillId="0" borderId="61" xfId="0" applyFont="1" applyFill="1" applyBorder="1" applyAlignment="1">
      <alignment horizontal="center"/>
    </xf>
    <xf numFmtId="0" fontId="6" fillId="0" borderId="61" xfId="0" applyFont="1" applyBorder="1" applyAlignment="1">
      <alignment shrinkToFit="1"/>
    </xf>
    <xf numFmtId="0" fontId="3" fillId="0" borderId="0" xfId="0" applyFont="1" applyFill="1" applyBorder="1" applyAlignment="1">
      <alignment vertical="center" shrinkToFit="1"/>
    </xf>
    <xf numFmtId="0" fontId="11" fillId="0" borderId="0" xfId="1" applyFont="1" applyBorder="1" applyAlignment="1">
      <alignment vertical="center"/>
    </xf>
    <xf numFmtId="0" fontId="11" fillId="0" borderId="13" xfId="1" applyFont="1" applyBorder="1" applyAlignment="1">
      <alignment vertical="center"/>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64" xfId="0" applyFont="1" applyBorder="1" applyAlignment="1">
      <alignment shrinkToFit="1"/>
    </xf>
    <xf numFmtId="0" fontId="6" fillId="0" borderId="65" xfId="0" applyFont="1" applyBorder="1" applyAlignment="1">
      <alignment shrinkToFit="1"/>
    </xf>
    <xf numFmtId="0" fontId="6" fillId="0" borderId="66" xfId="0" applyFont="1" applyBorder="1" applyAlignment="1">
      <alignment shrinkToFit="1"/>
    </xf>
    <xf numFmtId="0" fontId="6" fillId="0" borderId="67" xfId="0" applyFont="1" applyBorder="1" applyAlignment="1">
      <alignment shrinkToFit="1"/>
    </xf>
    <xf numFmtId="0" fontId="3" fillId="0" borderId="61" xfId="0" quotePrefix="1" applyFont="1" applyFill="1" applyBorder="1" applyAlignment="1">
      <alignment horizontal="center" vertical="center"/>
    </xf>
    <xf numFmtId="182" fontId="6" fillId="0" borderId="61" xfId="0" applyNumberFormat="1" applyFont="1" applyBorder="1" applyAlignment="1">
      <alignment horizontal="right" vertical="center" shrinkToFit="1"/>
    </xf>
    <xf numFmtId="182" fontId="6" fillId="0" borderId="64" xfId="0" applyNumberFormat="1" applyFont="1" applyBorder="1" applyAlignment="1">
      <alignment horizontal="right" vertical="center" shrinkToFit="1"/>
    </xf>
    <xf numFmtId="182" fontId="6" fillId="0" borderId="65" xfId="0" applyNumberFormat="1" applyFont="1" applyBorder="1" applyAlignment="1">
      <alignment horizontal="right" vertical="center" shrinkToFit="1"/>
    </xf>
    <xf numFmtId="182" fontId="6" fillId="0" borderId="66" xfId="0" applyNumberFormat="1" applyFont="1" applyBorder="1" applyAlignment="1">
      <alignment horizontal="right" vertical="center" shrinkToFit="1"/>
    </xf>
    <xf numFmtId="182" fontId="6" fillId="0" borderId="67" xfId="0" applyNumberFormat="1" applyFont="1" applyBorder="1" applyAlignment="1">
      <alignment horizontal="right" vertical="center" shrinkToFit="1"/>
    </xf>
    <xf numFmtId="0" fontId="6" fillId="0" borderId="0" xfId="0" applyFont="1" applyFill="1" applyBorder="1" applyAlignment="1">
      <alignment horizontal="left" vertical="center"/>
    </xf>
    <xf numFmtId="0" fontId="6" fillId="0" borderId="14" xfId="0" applyFont="1" applyBorder="1" applyAlignment="1">
      <alignment horizontal="left" vertical="center"/>
    </xf>
    <xf numFmtId="0" fontId="6" fillId="0" borderId="14"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1" applyFont="1" applyBorder="1" applyAlignment="1">
      <alignment horizontal="center" vertical="center" shrinkToFit="1"/>
    </xf>
    <xf numFmtId="179" fontId="3" fillId="0" borderId="0" xfId="1" applyNumberFormat="1" applyFont="1" applyBorder="1" applyAlignment="1">
      <alignment horizontal="center" vertical="center" shrinkToFit="1"/>
    </xf>
    <xf numFmtId="0" fontId="3" fillId="2" borderId="4" xfId="0" applyFont="1" applyFill="1" applyBorder="1" applyAlignment="1" applyProtection="1">
      <alignment vertical="center" shrinkToFit="1"/>
      <protection locked="0"/>
    </xf>
    <xf numFmtId="0" fontId="3" fillId="2" borderId="4" xfId="0" applyNumberFormat="1" applyFont="1" applyFill="1" applyBorder="1" applyAlignment="1" applyProtection="1">
      <alignment horizontal="center" vertical="center"/>
      <protection locked="0"/>
    </xf>
    <xf numFmtId="0" fontId="6" fillId="2" borderId="4"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3" fillId="0" borderId="8" xfId="0" applyFont="1" applyBorder="1" applyAlignment="1" applyProtection="1">
      <alignment horizontal="left" vertical="center"/>
    </xf>
    <xf numFmtId="0" fontId="3" fillId="2" borderId="2" xfId="1" applyFont="1" applyFill="1" applyBorder="1" applyAlignment="1" applyProtection="1">
      <alignment horizontal="center" vertical="center"/>
      <protection locked="0"/>
    </xf>
    <xf numFmtId="0" fontId="3" fillId="2" borderId="20" xfId="1" applyFont="1" applyFill="1" applyBorder="1" applyAlignment="1" applyProtection="1">
      <alignment horizontal="center" vertical="center"/>
      <protection locked="0"/>
    </xf>
    <xf numFmtId="0" fontId="3" fillId="2" borderId="18" xfId="1" applyFont="1" applyFill="1" applyBorder="1" applyAlignment="1" applyProtection="1">
      <alignment horizontal="center" vertical="center"/>
      <protection locked="0"/>
    </xf>
    <xf numFmtId="0" fontId="3" fillId="2" borderId="2" xfId="1" applyNumberFormat="1" applyFont="1" applyFill="1" applyBorder="1" applyAlignment="1" applyProtection="1">
      <alignment vertical="center" shrinkToFit="1"/>
      <protection locked="0"/>
    </xf>
    <xf numFmtId="0" fontId="3" fillId="2" borderId="2" xfId="1" applyNumberFormat="1" applyFont="1" applyFill="1" applyBorder="1" applyAlignment="1" applyProtection="1">
      <alignment horizontal="left" vertical="center" shrinkToFit="1"/>
      <protection locked="0"/>
    </xf>
    <xf numFmtId="0" fontId="3" fillId="2" borderId="20" xfId="1" applyNumberFormat="1" applyFont="1" applyFill="1" applyBorder="1" applyAlignment="1" applyProtection="1">
      <alignment horizontal="left" vertical="center" shrinkToFit="1"/>
      <protection locked="0"/>
    </xf>
    <xf numFmtId="0" fontId="3" fillId="2" borderId="6" xfId="1" applyNumberFormat="1" applyFont="1" applyFill="1" applyBorder="1" applyAlignment="1" applyProtection="1">
      <alignment horizontal="left" vertical="center" shrinkToFit="1"/>
      <protection locked="0"/>
    </xf>
    <xf numFmtId="0" fontId="3" fillId="2" borderId="18" xfId="1" applyNumberFormat="1" applyFont="1" applyFill="1" applyBorder="1" applyAlignment="1" applyProtection="1">
      <alignment vertical="center" shrinkToFit="1"/>
      <protection locked="0"/>
    </xf>
    <xf numFmtId="0" fontId="3" fillId="2" borderId="18" xfId="1" applyNumberFormat="1" applyFont="1" applyFill="1" applyBorder="1" applyAlignment="1" applyProtection="1">
      <alignment horizontal="left" vertical="center" shrinkToFit="1"/>
      <protection locked="0"/>
    </xf>
    <xf numFmtId="0" fontId="3" fillId="2" borderId="22" xfId="1" applyFont="1" applyFill="1" applyBorder="1" applyAlignment="1" applyProtection="1">
      <alignment vertical="center"/>
      <protection locked="0"/>
    </xf>
    <xf numFmtId="0" fontId="3" fillId="2" borderId="21" xfId="1" applyFont="1" applyFill="1" applyBorder="1" applyAlignment="1" applyProtection="1">
      <alignment vertical="center"/>
      <protection locked="0"/>
    </xf>
    <xf numFmtId="0" fontId="3" fillId="0" borderId="1" xfId="0" applyFont="1" applyBorder="1" applyAlignment="1">
      <alignment horizontal="left" vertical="center"/>
    </xf>
    <xf numFmtId="0" fontId="6" fillId="2" borderId="0" xfId="0" applyFont="1" applyFill="1" applyBorder="1" applyAlignment="1" applyProtection="1">
      <alignment horizontal="right" vertical="center"/>
      <protection locked="0"/>
    </xf>
    <xf numFmtId="0" fontId="3" fillId="0" borderId="5" xfId="1" applyFont="1" applyBorder="1" applyAlignment="1">
      <alignment horizontal="center" vertical="center"/>
    </xf>
    <xf numFmtId="0" fontId="3" fillId="0" borderId="4" xfId="0" quotePrefix="1"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5" xfId="0" quotePrefix="1" applyFont="1" applyFill="1" applyBorder="1" applyAlignment="1">
      <alignment horizontal="center" vertical="center"/>
    </xf>
    <xf numFmtId="0" fontId="3" fillId="0" borderId="26" xfId="0" quotePrefix="1" applyFont="1" applyFill="1" applyBorder="1" applyAlignment="1">
      <alignment horizontal="center" vertical="center"/>
    </xf>
    <xf numFmtId="0" fontId="3" fillId="0" borderId="2" xfId="1" applyFont="1" applyBorder="1" applyAlignment="1">
      <alignment horizontal="center" vertical="center" shrinkToFit="1"/>
    </xf>
    <xf numFmtId="0" fontId="3" fillId="0" borderId="44" xfId="1" applyFont="1" applyBorder="1" applyAlignment="1">
      <alignment horizontal="center" vertical="center"/>
    </xf>
    <xf numFmtId="0" fontId="3" fillId="0" borderId="3" xfId="0" applyFont="1" applyFill="1" applyBorder="1" applyAlignment="1">
      <alignment horizontal="center"/>
    </xf>
    <xf numFmtId="0" fontId="3" fillId="0" borderId="5" xfId="0" applyFont="1" applyFill="1" applyBorder="1" applyAlignment="1">
      <alignment horizontal="center" vertical="center"/>
    </xf>
    <xf numFmtId="0" fontId="6" fillId="0" borderId="0" xfId="0" applyFont="1" applyAlignment="1">
      <alignment vertical="center"/>
    </xf>
    <xf numFmtId="0" fontId="3" fillId="0" borderId="24" xfId="0" applyFont="1" applyFill="1" applyBorder="1" applyAlignment="1">
      <alignment horizontal="center"/>
    </xf>
    <xf numFmtId="188" fontId="3" fillId="0" borderId="24" xfId="0" applyNumberFormat="1" applyFont="1" applyFill="1" applyBorder="1" applyAlignment="1">
      <alignment horizontal="right" shrinkToFit="1"/>
    </xf>
    <xf numFmtId="188" fontId="3" fillId="0" borderId="24" xfId="1" applyNumberFormat="1" applyFont="1" applyBorder="1" applyAlignment="1">
      <alignment vertical="center" shrinkToFit="1"/>
    </xf>
    <xf numFmtId="0" fontId="6" fillId="0" borderId="20" xfId="0" applyFont="1" applyBorder="1" applyAlignment="1">
      <alignment horizontal="center" vertical="center"/>
    </xf>
    <xf numFmtId="188" fontId="3" fillId="0" borderId="31" xfId="1" applyNumberFormat="1" applyFont="1" applyBorder="1" applyAlignment="1">
      <alignment vertical="center" shrinkToFit="1"/>
    </xf>
    <xf numFmtId="0" fontId="6" fillId="0" borderId="31" xfId="0" applyFont="1" applyBorder="1" applyAlignment="1">
      <alignment shrinkToFit="1"/>
    </xf>
    <xf numFmtId="0" fontId="6" fillId="0" borderId="12" xfId="0" applyFont="1" applyBorder="1" applyAlignment="1">
      <alignment horizontal="center" vertical="center"/>
    </xf>
    <xf numFmtId="188" fontId="3" fillId="0" borderId="40" xfId="1" applyNumberFormat="1" applyFont="1" applyBorder="1" applyAlignment="1">
      <alignment vertical="center" shrinkToFit="1"/>
    </xf>
    <xf numFmtId="0" fontId="6" fillId="0" borderId="40" xfId="0" applyFont="1" applyBorder="1" applyAlignment="1">
      <alignment shrinkToFit="1"/>
    </xf>
    <xf numFmtId="0" fontId="6" fillId="0" borderId="22" xfId="0" applyFont="1" applyBorder="1" applyAlignment="1">
      <alignment horizontal="center" vertical="center"/>
    </xf>
    <xf numFmtId="0" fontId="6" fillId="0" borderId="4" xfId="0" applyFont="1" applyBorder="1" applyAlignment="1">
      <alignment shrinkToFit="1"/>
    </xf>
    <xf numFmtId="0" fontId="3" fillId="0" borderId="7" xfId="1" applyFont="1" applyBorder="1" applyAlignment="1">
      <alignment horizontal="center" vertical="center" shrinkToFit="1"/>
    </xf>
    <xf numFmtId="188" fontId="3" fillId="0" borderId="37" xfId="1" applyNumberFormat="1" applyFont="1" applyBorder="1" applyAlignment="1">
      <alignment vertical="center" shrinkToFit="1"/>
    </xf>
    <xf numFmtId="0" fontId="6" fillId="0" borderId="37" xfId="0" applyFont="1" applyBorder="1" applyAlignment="1">
      <alignment shrinkToFit="1"/>
    </xf>
    <xf numFmtId="0" fontId="6" fillId="0" borderId="6" xfId="0" applyFont="1" applyBorder="1" applyAlignment="1">
      <alignment horizontal="center" vertical="center"/>
    </xf>
    <xf numFmtId="182" fontId="6" fillId="0" borderId="24" xfId="0" applyNumberFormat="1" applyFont="1" applyBorder="1" applyAlignment="1">
      <alignment horizontal="center" vertical="center" shrinkToFit="1"/>
    </xf>
    <xf numFmtId="182" fontId="6" fillId="0" borderId="4" xfId="0" applyNumberFormat="1" applyFont="1" applyBorder="1" applyAlignment="1">
      <alignment horizontal="right" vertical="center" shrinkToFit="1"/>
    </xf>
    <xf numFmtId="182" fontId="6" fillId="0" borderId="37" xfId="0" applyNumberFormat="1" applyFont="1" applyBorder="1" applyAlignment="1">
      <alignment horizontal="center" vertical="center" shrinkToFit="1"/>
    </xf>
    <xf numFmtId="182" fontId="6" fillId="0" borderId="8" xfId="0" applyNumberFormat="1" applyFont="1" applyBorder="1" applyAlignment="1">
      <alignment horizontal="right" vertical="center" shrinkToFit="1"/>
    </xf>
    <xf numFmtId="182" fontId="6" fillId="0" borderId="40" xfId="0" applyNumberFormat="1" applyFont="1" applyBorder="1" applyAlignment="1">
      <alignment horizontal="center" vertical="center" shrinkToFit="1"/>
    </xf>
    <xf numFmtId="182" fontId="6" fillId="0" borderId="62" xfId="0" applyNumberFormat="1" applyFont="1" applyBorder="1" applyAlignment="1">
      <alignment horizontal="right" vertical="center" shrinkToFit="1"/>
    </xf>
    <xf numFmtId="0" fontId="3" fillId="0" borderId="22" xfId="1" applyFont="1" applyBorder="1" applyAlignment="1">
      <alignment horizontal="center" vertical="center"/>
    </xf>
    <xf numFmtId="182" fontId="6" fillId="0" borderId="31" xfId="0" applyNumberFormat="1" applyFont="1" applyBorder="1" applyAlignment="1">
      <alignment horizontal="center" vertical="center" shrinkToFit="1"/>
    </xf>
    <xf numFmtId="182" fontId="6" fillId="0" borderId="63" xfId="0" applyNumberFormat="1" applyFont="1" applyBorder="1" applyAlignment="1">
      <alignment horizontal="right" vertical="center" shrinkToFit="1"/>
    </xf>
    <xf numFmtId="0" fontId="3" fillId="0" borderId="12" xfId="1" applyFont="1" applyBorder="1" applyAlignment="1">
      <alignment horizontal="center" vertical="center"/>
    </xf>
    <xf numFmtId="182" fontId="6" fillId="0" borderId="1" xfId="0" applyNumberFormat="1" applyFont="1" applyBorder="1" applyAlignment="1">
      <alignment horizontal="right" vertical="center" shrinkToFit="1"/>
    </xf>
    <xf numFmtId="0" fontId="3" fillId="0" borderId="20" xfId="1" applyFont="1" applyBorder="1" applyAlignment="1">
      <alignment horizontal="center" vertical="center"/>
    </xf>
    <xf numFmtId="182" fontId="6" fillId="0" borderId="27" xfId="0" applyNumberFormat="1" applyFont="1" applyBorder="1" applyAlignment="1">
      <alignment horizontal="center" vertical="center" shrinkToFit="1"/>
    </xf>
    <xf numFmtId="0" fontId="11" fillId="0" borderId="0" xfId="0" applyFont="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2" borderId="7" xfId="1" applyFont="1" applyFill="1" applyBorder="1" applyAlignment="1" applyProtection="1">
      <alignment horizontal="center" vertical="center"/>
      <protection locked="0"/>
    </xf>
    <xf numFmtId="0" fontId="3" fillId="0" borderId="7"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44" xfId="1" applyFont="1" applyBorder="1" applyAlignment="1">
      <alignment horizontal="center" vertical="center"/>
    </xf>
    <xf numFmtId="0" fontId="3" fillId="2" borderId="6" xfId="1" applyFont="1" applyFill="1" applyBorder="1" applyAlignment="1" applyProtection="1">
      <alignment horizontal="center" vertical="center"/>
      <protection locked="0"/>
    </xf>
    <xf numFmtId="0" fontId="3" fillId="0" borderId="6" xfId="1" applyFont="1" applyFill="1" applyBorder="1" applyAlignment="1">
      <alignment horizontal="center" vertic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6" fillId="0" borderId="5" xfId="0" applyFont="1" applyBorder="1" applyAlignment="1">
      <alignment vertical="center"/>
    </xf>
    <xf numFmtId="0" fontId="6" fillId="0" borderId="3" xfId="0" applyFont="1" applyBorder="1" applyAlignment="1">
      <alignment vertical="center" wrapText="1"/>
    </xf>
    <xf numFmtId="0" fontId="6" fillId="0" borderId="1" xfId="0" applyFont="1" applyBorder="1" applyAlignment="1">
      <alignment vertical="center"/>
    </xf>
    <xf numFmtId="0" fontId="6" fillId="0" borderId="2" xfId="0" applyFont="1" applyBorder="1" applyAlignment="1">
      <alignment horizontal="left" vertical="center" wrapText="1"/>
    </xf>
    <xf numFmtId="0" fontId="3" fillId="2" borderId="3" xfId="1" applyFont="1" applyFill="1" applyBorder="1" applyAlignment="1" applyProtection="1">
      <alignment horizontal="left" vertical="center" shrinkToFit="1"/>
      <protection locked="0"/>
    </xf>
    <xf numFmtId="0" fontId="3" fillId="2" borderId="5" xfId="1" applyFont="1" applyFill="1" applyBorder="1" applyAlignment="1" applyProtection="1">
      <alignment horizontal="left" vertical="center" shrinkToFit="1"/>
      <protection locked="0"/>
    </xf>
    <xf numFmtId="0" fontId="3" fillId="0" borderId="2" xfId="0" applyFont="1" applyBorder="1" applyAlignment="1" applyProtection="1">
      <alignment vertical="center"/>
      <protection locked="0"/>
    </xf>
    <xf numFmtId="0" fontId="6" fillId="0" borderId="2" xfId="0" applyFont="1" applyBorder="1" applyAlignment="1">
      <alignment vertical="center" wrapText="1"/>
    </xf>
    <xf numFmtId="38" fontId="6" fillId="0" borderId="2" xfId="2" applyFont="1" applyBorder="1" applyAlignment="1">
      <alignment vertical="center" wrapText="1"/>
    </xf>
    <xf numFmtId="38" fontId="6" fillId="0" borderId="2" xfId="2" applyFont="1" applyFill="1" applyBorder="1" applyAlignment="1">
      <alignment vertical="center" wrapText="1"/>
    </xf>
    <xf numFmtId="38" fontId="6" fillId="2" borderId="2" xfId="2" applyFont="1" applyFill="1" applyBorder="1" applyAlignment="1" applyProtection="1">
      <alignment vertical="center" wrapText="1"/>
      <protection locked="0"/>
    </xf>
    <xf numFmtId="0" fontId="6" fillId="0" borderId="6" xfId="0" applyFont="1" applyBorder="1" applyAlignment="1">
      <alignment vertical="center" wrapText="1"/>
    </xf>
    <xf numFmtId="38" fontId="6" fillId="0" borderId="6" xfId="2" applyFont="1" applyBorder="1" applyAlignment="1">
      <alignment vertical="center" wrapText="1"/>
    </xf>
    <xf numFmtId="38" fontId="6" fillId="0" borderId="20" xfId="2" applyFont="1" applyFill="1" applyBorder="1" applyAlignment="1">
      <alignment vertical="center" wrapText="1"/>
    </xf>
    <xf numFmtId="0" fontId="6" fillId="0" borderId="20" xfId="0" applyFont="1" applyBorder="1" applyAlignment="1">
      <alignment vertical="center" wrapText="1"/>
    </xf>
    <xf numFmtId="38" fontId="6" fillId="2" borderId="20" xfId="2" applyFont="1" applyFill="1" applyBorder="1" applyAlignment="1" applyProtection="1">
      <alignment vertical="center" wrapText="1"/>
      <protection locked="0"/>
    </xf>
    <xf numFmtId="38" fontId="6" fillId="0" borderId="75" xfId="2" applyFont="1" applyFill="1" applyBorder="1" applyAlignment="1">
      <alignment vertical="center" wrapText="1"/>
    </xf>
    <xf numFmtId="0" fontId="6" fillId="0" borderId="73" xfId="0" applyFont="1" applyBorder="1" applyAlignment="1">
      <alignment vertical="center" wrapText="1"/>
    </xf>
    <xf numFmtId="0" fontId="6" fillId="0" borderId="74" xfId="0" applyFont="1" applyBorder="1" applyAlignment="1">
      <alignment vertical="center" wrapText="1"/>
    </xf>
    <xf numFmtId="38" fontId="6" fillId="0" borderId="68" xfId="2" applyFont="1" applyFill="1" applyBorder="1" applyAlignment="1">
      <alignment vertical="center" wrapText="1"/>
    </xf>
    <xf numFmtId="0" fontId="6" fillId="0" borderId="1" xfId="0" applyFont="1" applyBorder="1" applyAlignment="1">
      <alignment vertical="center" wrapText="1"/>
    </xf>
    <xf numFmtId="0" fontId="6" fillId="0" borderId="12" xfId="0" applyFont="1" applyBorder="1" applyAlignment="1">
      <alignment vertical="center" wrapText="1"/>
    </xf>
    <xf numFmtId="38" fontId="6" fillId="0" borderId="7" xfId="2" applyFont="1" applyFill="1" applyBorder="1" applyAlignment="1">
      <alignment vertical="center" wrapText="1"/>
    </xf>
    <xf numFmtId="38" fontId="6" fillId="2" borderId="7" xfId="2" applyFont="1" applyFill="1" applyBorder="1" applyAlignment="1" applyProtection="1">
      <alignment vertical="center" wrapText="1"/>
      <protection locked="0"/>
    </xf>
    <xf numFmtId="38" fontId="6" fillId="0" borderId="73" xfId="2" applyFont="1" applyFill="1" applyBorder="1" applyAlignment="1">
      <alignment vertical="center" wrapText="1"/>
    </xf>
    <xf numFmtId="38" fontId="6" fillId="2" borderId="68" xfId="2" applyFont="1" applyFill="1" applyBorder="1" applyAlignment="1" applyProtection="1">
      <alignment vertical="center" wrapText="1"/>
      <protection locked="0"/>
    </xf>
    <xf numFmtId="38" fontId="6" fillId="2" borderId="6" xfId="2" applyFont="1" applyFill="1" applyBorder="1" applyAlignment="1" applyProtection="1">
      <alignment vertical="center" wrapText="1"/>
      <protection locked="0"/>
    </xf>
    <xf numFmtId="0" fontId="6" fillId="0" borderId="10" xfId="0" applyFont="1" applyBorder="1" applyAlignment="1">
      <alignment vertical="center" wrapText="1"/>
    </xf>
    <xf numFmtId="38" fontId="6" fillId="0" borderId="6" xfId="2" applyFont="1" applyFill="1" applyBorder="1" applyAlignment="1">
      <alignment vertical="center" wrapText="1"/>
    </xf>
    <xf numFmtId="0" fontId="6" fillId="0" borderId="2" xfId="0" applyFont="1" applyBorder="1" applyAlignment="1">
      <alignment vertical="center"/>
    </xf>
    <xf numFmtId="0" fontId="6" fillId="0" borderId="9"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6" fillId="0" borderId="14" xfId="0" applyFont="1" applyBorder="1" applyAlignment="1">
      <alignment vertical="center"/>
    </xf>
    <xf numFmtId="0" fontId="6" fillId="2" borderId="13" xfId="0" applyFont="1" applyFill="1" applyBorder="1" applyAlignment="1" applyProtection="1">
      <alignment vertical="center"/>
      <protection locked="0"/>
    </xf>
    <xf numFmtId="0" fontId="6" fillId="0" borderId="11" xfId="0" applyFont="1" applyBorder="1" applyAlignment="1">
      <alignment vertical="center"/>
    </xf>
    <xf numFmtId="0" fontId="6" fillId="0" borderId="12" xfId="0" applyFont="1" applyBorder="1" applyAlignment="1">
      <alignment vertical="center"/>
    </xf>
    <xf numFmtId="0" fontId="12" fillId="0" borderId="0" xfId="0" applyFont="1" applyAlignment="1">
      <alignment vertical="center"/>
    </xf>
    <xf numFmtId="189" fontId="3" fillId="0" borderId="0" xfId="0" applyNumberFormat="1" applyFont="1" applyFill="1" applyAlignment="1">
      <alignment horizontal="right" vertical="center"/>
    </xf>
    <xf numFmtId="190" fontId="3" fillId="2" borderId="0" xfId="0" applyNumberFormat="1" applyFont="1" applyFill="1" applyAlignment="1" applyProtection="1">
      <alignment vertical="center"/>
      <protection locked="0"/>
    </xf>
    <xf numFmtId="189" fontId="3" fillId="0" borderId="0" xfId="0" applyNumberFormat="1" applyFont="1" applyFill="1" applyAlignment="1">
      <alignment vertical="center"/>
    </xf>
    <xf numFmtId="189" fontId="3" fillId="0" borderId="0" xfId="0" applyNumberFormat="1" applyFont="1" applyFill="1" applyAlignment="1">
      <alignment horizontal="center" vertical="center"/>
    </xf>
    <xf numFmtId="56" fontId="3" fillId="0" borderId="0" xfId="0" applyNumberFormat="1" applyFont="1" applyAlignment="1">
      <alignment vertical="center"/>
    </xf>
    <xf numFmtId="0" fontId="6" fillId="2" borderId="3" xfId="0" applyFont="1" applyFill="1" applyBorder="1" applyAlignment="1" applyProtection="1">
      <alignment vertical="center"/>
      <protection locked="0"/>
    </xf>
    <xf numFmtId="0" fontId="3" fillId="0" borderId="0" xfId="0" applyFont="1" applyFill="1" applyBorder="1" applyAlignment="1">
      <alignment vertical="center"/>
    </xf>
    <xf numFmtId="0" fontId="3" fillId="0" borderId="8" xfId="0" applyFont="1" applyBorder="1" applyAlignment="1">
      <alignment vertical="center"/>
    </xf>
    <xf numFmtId="0" fontId="6" fillId="2" borderId="0" xfId="0" applyFont="1" applyFill="1" applyBorder="1" applyAlignment="1" applyProtection="1">
      <alignment vertical="center"/>
      <protection locked="0"/>
    </xf>
    <xf numFmtId="0" fontId="3" fillId="0" borderId="0" xfId="0" applyFont="1" applyBorder="1" applyAlignment="1">
      <alignment vertical="center"/>
    </xf>
    <xf numFmtId="0" fontId="18" fillId="2" borderId="13" xfId="0" applyFont="1" applyFill="1" applyBorder="1" applyAlignment="1" applyProtection="1">
      <alignment vertical="center"/>
      <protection locked="0"/>
    </xf>
    <xf numFmtId="0" fontId="18" fillId="0" borderId="0" xfId="0" applyFont="1" applyFill="1" applyBorder="1" applyAlignment="1">
      <alignment vertical="center"/>
    </xf>
    <xf numFmtId="0" fontId="6" fillId="2" borderId="9" xfId="0" applyFont="1" applyFill="1" applyBorder="1" applyAlignment="1" applyProtection="1">
      <alignment vertical="center"/>
      <protection locked="0"/>
    </xf>
    <xf numFmtId="0" fontId="6" fillId="2" borderId="11" xfId="0" applyFont="1" applyFill="1" applyBorder="1" applyAlignment="1" applyProtection="1">
      <alignment vertical="center"/>
      <protection locked="0"/>
    </xf>
    <xf numFmtId="38" fontId="6" fillId="2" borderId="2" xfId="2" applyFont="1" applyFill="1" applyBorder="1" applyAlignment="1" applyProtection="1">
      <alignment vertical="center"/>
      <protection locked="0"/>
    </xf>
    <xf numFmtId="38" fontId="6" fillId="0" borderId="2" xfId="2" applyFont="1" applyFill="1" applyBorder="1" applyAlignment="1">
      <alignment vertical="center"/>
    </xf>
    <xf numFmtId="38" fontId="6" fillId="0" borderId="68" xfId="2" applyFont="1" applyFill="1" applyBorder="1" applyAlignment="1">
      <alignment vertical="center"/>
    </xf>
    <xf numFmtId="0" fontId="3" fillId="0" borderId="2" xfId="0" applyFont="1" applyBorder="1" applyAlignment="1" applyProtection="1">
      <alignment horizontal="left" vertical="center"/>
    </xf>
    <xf numFmtId="0" fontId="3" fillId="0" borderId="2" xfId="0" applyFont="1" applyBorder="1" applyAlignment="1" applyProtection="1">
      <alignment horizontal="center" vertical="center"/>
    </xf>
    <xf numFmtId="0" fontId="0" fillId="0" borderId="0" xfId="0" applyAlignment="1" applyProtection="1">
      <alignment vertical="center"/>
    </xf>
    <xf numFmtId="0" fontId="0" fillId="0" borderId="2" xfId="0" applyBorder="1" applyAlignment="1" applyProtection="1">
      <alignment vertical="center"/>
    </xf>
    <xf numFmtId="0" fontId="3" fillId="0" borderId="2" xfId="0" applyFont="1" applyBorder="1" applyAlignment="1" applyProtection="1">
      <alignment vertical="center" shrinkToFit="1"/>
    </xf>
    <xf numFmtId="191" fontId="6" fillId="2" borderId="2" xfId="2" applyNumberFormat="1" applyFont="1" applyFill="1" applyBorder="1" applyAlignment="1" applyProtection="1">
      <alignment vertical="center" wrapText="1"/>
      <protection locked="0"/>
    </xf>
    <xf numFmtId="191" fontId="6" fillId="2" borderId="6" xfId="2" applyNumberFormat="1" applyFont="1" applyFill="1" applyBorder="1" applyAlignment="1" applyProtection="1">
      <alignment vertical="center" wrapText="1"/>
      <protection locked="0"/>
    </xf>
    <xf numFmtId="192" fontId="6" fillId="2" borderId="2" xfId="0" applyNumberFormat="1" applyFont="1" applyFill="1" applyBorder="1" applyAlignment="1" applyProtection="1">
      <alignment vertical="center" wrapText="1"/>
      <protection locked="0"/>
    </xf>
    <xf numFmtId="192" fontId="6" fillId="2" borderId="6" xfId="0" applyNumberFormat="1" applyFont="1" applyFill="1" applyBorder="1" applyAlignment="1" applyProtection="1">
      <alignment vertical="center" wrapText="1"/>
      <protection locked="0"/>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 xfId="0" applyFont="1" applyBorder="1" applyAlignment="1">
      <alignment vertical="center" shrinkToFit="1"/>
    </xf>
    <xf numFmtId="58" fontId="3" fillId="2" borderId="2" xfId="0" applyNumberFormat="1" applyFont="1" applyFill="1" applyBorder="1" applyAlignment="1" applyProtection="1">
      <alignment horizontal="left" vertical="center" indent="1"/>
      <protection locked="0"/>
    </xf>
    <xf numFmtId="0" fontId="3" fillId="0" borderId="2" xfId="0" applyFont="1" applyBorder="1" applyAlignment="1">
      <alignment horizontal="center" vertical="center" shrinkToFit="1"/>
    </xf>
    <xf numFmtId="58" fontId="3" fillId="2" borderId="3" xfId="0" applyNumberFormat="1" applyFont="1" applyFill="1" applyBorder="1" applyAlignment="1" applyProtection="1">
      <alignment horizontal="left" vertical="center" indent="1"/>
      <protection locked="0"/>
    </xf>
    <xf numFmtId="58" fontId="3" fillId="2" borderId="4" xfId="0" applyNumberFormat="1" applyFont="1" applyFill="1" applyBorder="1" applyAlignment="1" applyProtection="1">
      <alignment horizontal="left" vertical="center" indent="1"/>
      <protection locked="0"/>
    </xf>
    <xf numFmtId="58" fontId="3" fillId="2" borderId="5" xfId="0" applyNumberFormat="1" applyFont="1" applyFill="1" applyBorder="1" applyAlignment="1" applyProtection="1">
      <alignment horizontal="left" vertical="center" indent="1"/>
      <protection locked="0"/>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2" borderId="3" xfId="0" applyFont="1" applyFill="1" applyBorder="1" applyAlignment="1" applyProtection="1">
      <alignment horizontal="left" vertical="center" indent="1" shrinkToFit="1"/>
      <protection locked="0"/>
    </xf>
    <xf numFmtId="0" fontId="3" fillId="2" borderId="4" xfId="0" applyFont="1" applyFill="1" applyBorder="1" applyAlignment="1" applyProtection="1">
      <alignment horizontal="left" vertical="center" indent="1" shrinkToFit="1"/>
      <protection locked="0"/>
    </xf>
    <xf numFmtId="0" fontId="3" fillId="2" borderId="5" xfId="0" applyFont="1" applyFill="1" applyBorder="1" applyAlignment="1" applyProtection="1">
      <alignment horizontal="left" vertical="center" indent="1" shrinkToFit="1"/>
      <protection locked="0"/>
    </xf>
    <xf numFmtId="0" fontId="3" fillId="2" borderId="2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11"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center" vertical="center"/>
    </xf>
    <xf numFmtId="0" fontId="3" fillId="0" borderId="2" xfId="0" applyFont="1" applyBorder="1" applyAlignment="1">
      <alignment horizontal="center" vertical="center" wrapText="1"/>
    </xf>
    <xf numFmtId="0" fontId="3" fillId="2" borderId="23" xfId="0" applyFont="1" applyFill="1" applyBorder="1" applyAlignment="1" applyProtection="1">
      <alignment horizontal="left" vertical="center" shrinkToFit="1"/>
      <protection locked="0"/>
    </xf>
    <xf numFmtId="0" fontId="3" fillId="2" borderId="4"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0" borderId="0" xfId="0" applyFont="1" applyFill="1" applyAlignment="1">
      <alignment horizontal="distributed" vertical="center" shrinkToFit="1"/>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0" xfId="0" applyFont="1" applyFill="1" applyAlignment="1" applyProtection="1">
      <alignment horizontal="left" vertical="center" shrinkToFit="1"/>
      <protection locked="0"/>
    </xf>
    <xf numFmtId="0" fontId="3" fillId="0" borderId="4" xfId="0" applyFont="1" applyFill="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2" borderId="0" xfId="0" applyFont="1" applyFill="1" applyAlignment="1" applyProtection="1">
      <alignment horizontal="left" vertical="center" shrinkToFit="1"/>
      <protection locked="0"/>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6" xfId="0" applyFont="1" applyBorder="1" applyAlignment="1">
      <alignment horizontal="center" vertical="center"/>
    </xf>
    <xf numFmtId="0" fontId="3" fillId="2" borderId="7" xfId="0" applyFont="1" applyFill="1" applyBorder="1" applyAlignment="1" applyProtection="1">
      <alignment horizontal="center" vertical="center" shrinkToFit="1"/>
      <protection locked="0"/>
    </xf>
    <xf numFmtId="176" fontId="3" fillId="2" borderId="7"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76" fontId="3" fillId="2" borderId="9" xfId="0" applyNumberFormat="1" applyFont="1" applyFill="1" applyBorder="1" applyAlignment="1" applyProtection="1">
      <alignment horizontal="left" vertical="center" shrinkToFit="1"/>
      <protection locked="0"/>
    </xf>
    <xf numFmtId="176" fontId="3" fillId="2" borderId="8" xfId="0" applyNumberFormat="1" applyFont="1" applyFill="1" applyBorder="1" applyAlignment="1" applyProtection="1">
      <alignment horizontal="left" vertical="center" shrinkToFit="1"/>
      <protection locked="0"/>
    </xf>
    <xf numFmtId="176" fontId="3" fillId="2" borderId="10" xfId="0" applyNumberFormat="1" applyFont="1" applyFill="1" applyBorder="1" applyAlignment="1" applyProtection="1">
      <alignment horizontal="left" vertical="center" shrinkToFit="1"/>
      <protection locked="0"/>
    </xf>
    <xf numFmtId="176" fontId="13" fillId="0" borderId="11" xfId="0" applyNumberFormat="1" applyFont="1" applyBorder="1" applyAlignment="1">
      <alignment horizontal="left" vertical="center" wrapText="1"/>
    </xf>
    <xf numFmtId="176" fontId="13" fillId="0" borderId="1" xfId="0" applyNumberFormat="1" applyFont="1" applyBorder="1" applyAlignment="1">
      <alignment horizontal="left" vertical="center" wrapText="1"/>
    </xf>
    <xf numFmtId="176" fontId="13" fillId="0" borderId="12" xfId="0" applyNumberFormat="1" applyFont="1" applyBorder="1" applyAlignment="1">
      <alignment horizontal="left" vertical="center" wrapText="1"/>
    </xf>
    <xf numFmtId="0" fontId="6" fillId="2" borderId="0" xfId="0" applyFont="1" applyFill="1" applyBorder="1" applyAlignment="1" applyProtection="1">
      <alignment horizontal="center" vertical="center"/>
      <protection locked="0"/>
    </xf>
    <xf numFmtId="184" fontId="3" fillId="2" borderId="3" xfId="0" applyNumberFormat="1" applyFont="1" applyFill="1" applyBorder="1" applyAlignment="1" applyProtection="1">
      <alignment horizontal="center" vertical="center"/>
      <protection locked="0"/>
    </xf>
    <xf numFmtId="184" fontId="3" fillId="2" borderId="4" xfId="0" applyNumberFormat="1" applyFont="1" applyFill="1" applyBorder="1" applyAlignment="1" applyProtection="1">
      <alignment horizontal="center" vertical="center"/>
      <protection locked="0"/>
    </xf>
    <xf numFmtId="0" fontId="14" fillId="0" borderId="0" xfId="0" applyFont="1" applyFill="1" applyAlignment="1">
      <alignment vertical="center" shrinkToFit="1"/>
    </xf>
    <xf numFmtId="0" fontId="3" fillId="0" borderId="0" xfId="0" applyFont="1" applyAlignment="1">
      <alignment horizontal="distributed" vertical="center"/>
    </xf>
    <xf numFmtId="0" fontId="3" fillId="2" borderId="17" xfId="1" applyFont="1" applyFill="1" applyBorder="1" applyAlignment="1" applyProtection="1">
      <alignment horizontal="center" vertical="center"/>
      <protection locked="0"/>
    </xf>
    <xf numFmtId="0" fontId="3" fillId="2" borderId="16" xfId="1" applyFont="1" applyFill="1" applyBorder="1" applyAlignment="1" applyProtection="1">
      <alignment horizontal="center" vertical="center"/>
      <protection locked="0"/>
    </xf>
    <xf numFmtId="0" fontId="3" fillId="2" borderId="7" xfId="1" applyFont="1" applyFill="1" applyBorder="1" applyAlignment="1" applyProtection="1">
      <alignment horizontal="center" vertical="center"/>
      <protection locked="0"/>
    </xf>
    <xf numFmtId="0" fontId="3" fillId="0" borderId="17"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7" xfId="1" applyFont="1" applyFill="1" applyBorder="1" applyAlignment="1">
      <alignment horizontal="center" vertical="center"/>
    </xf>
    <xf numFmtId="0" fontId="3" fillId="2" borderId="21" xfId="1" applyFont="1" applyFill="1" applyBorder="1" applyAlignment="1" applyProtection="1">
      <alignment horizontal="left" vertical="center"/>
      <protection locked="0"/>
    </xf>
    <xf numFmtId="0" fontId="3" fillId="2" borderId="22" xfId="1" applyFont="1" applyFill="1" applyBorder="1" applyAlignment="1" applyProtection="1">
      <alignment horizontal="left" vertical="center"/>
      <protection locked="0"/>
    </xf>
    <xf numFmtId="178" fontId="3" fillId="2" borderId="17" xfId="1" applyNumberFormat="1" applyFont="1" applyFill="1" applyBorder="1" applyAlignment="1" applyProtection="1">
      <alignment horizontal="center" vertical="center"/>
      <protection locked="0"/>
    </xf>
    <xf numFmtId="178" fontId="3" fillId="2" borderId="16" xfId="1" applyNumberFormat="1" applyFont="1" applyFill="1" applyBorder="1" applyAlignment="1" applyProtection="1">
      <alignment horizontal="center" vertical="center"/>
      <protection locked="0"/>
    </xf>
    <xf numFmtId="178" fontId="3" fillId="2" borderId="7" xfId="1" applyNumberFormat="1" applyFont="1" applyFill="1" applyBorder="1" applyAlignment="1" applyProtection="1">
      <alignment horizontal="center" vertical="center"/>
      <protection locked="0"/>
    </xf>
    <xf numFmtId="0" fontId="3" fillId="2" borderId="3" xfId="1" applyFont="1" applyFill="1" applyBorder="1" applyAlignment="1" applyProtection="1">
      <alignment horizontal="left" vertical="center"/>
      <protection locked="0"/>
    </xf>
    <xf numFmtId="0" fontId="3" fillId="2" borderId="5" xfId="1" applyFont="1" applyFill="1" applyBorder="1" applyAlignment="1" applyProtection="1">
      <alignment horizontal="left" vertical="center"/>
      <protection locked="0"/>
    </xf>
    <xf numFmtId="178" fontId="3" fillId="2" borderId="19" xfId="1" applyNumberFormat="1" applyFont="1" applyFill="1" applyBorder="1" applyAlignment="1" applyProtection="1">
      <alignment horizontal="center" vertical="center"/>
      <protection locked="0"/>
    </xf>
    <xf numFmtId="0" fontId="3" fillId="2" borderId="19" xfId="1" applyFont="1" applyFill="1" applyBorder="1" applyAlignment="1" applyProtection="1">
      <alignment horizontal="center" vertical="center"/>
      <protection locked="0"/>
    </xf>
    <xf numFmtId="0" fontId="3" fillId="0" borderId="49" xfId="1" applyFont="1" applyFill="1" applyBorder="1" applyAlignment="1">
      <alignment horizontal="center" vertical="center"/>
    </xf>
    <xf numFmtId="0" fontId="3" fillId="0" borderId="50" xfId="1" applyFont="1" applyFill="1" applyBorder="1" applyAlignment="1">
      <alignment horizontal="center" vertical="center"/>
    </xf>
    <xf numFmtId="0" fontId="3" fillId="0" borderId="51" xfId="1" applyFont="1" applyFill="1" applyBorder="1" applyAlignment="1">
      <alignment horizontal="center" vertical="center"/>
    </xf>
    <xf numFmtId="0" fontId="3" fillId="0" borderId="52" xfId="1" applyFont="1" applyFill="1" applyBorder="1" applyAlignment="1">
      <alignment horizontal="center" vertical="center"/>
    </xf>
    <xf numFmtId="0" fontId="3" fillId="0" borderId="53" xfId="1" applyFont="1" applyFill="1" applyBorder="1" applyAlignment="1">
      <alignment horizontal="center" vertical="center"/>
    </xf>
    <xf numFmtId="0" fontId="3" fillId="0" borderId="54" xfId="1" applyFont="1" applyFill="1" applyBorder="1" applyAlignment="1">
      <alignment horizontal="center" vertical="center"/>
    </xf>
    <xf numFmtId="0" fontId="3" fillId="2" borderId="3" xfId="1" applyFont="1" applyFill="1" applyBorder="1" applyAlignment="1" applyProtection="1">
      <alignment horizontal="center" vertical="center" shrinkToFit="1"/>
      <protection locked="0"/>
    </xf>
    <xf numFmtId="0" fontId="3" fillId="2" borderId="5" xfId="1" applyFont="1" applyFill="1" applyBorder="1" applyAlignment="1" applyProtection="1">
      <alignment horizontal="center" vertical="center" shrinkToFit="1"/>
      <protection locked="0"/>
    </xf>
    <xf numFmtId="0" fontId="3" fillId="2" borderId="47" xfId="1" applyFont="1" applyFill="1" applyBorder="1" applyAlignment="1" applyProtection="1">
      <alignment horizontal="center" vertical="center" shrinkToFit="1"/>
      <protection locked="0"/>
    </xf>
    <xf numFmtId="0" fontId="3" fillId="2" borderId="48" xfId="1" applyFont="1" applyFill="1" applyBorder="1" applyAlignment="1" applyProtection="1">
      <alignment horizontal="center" vertical="center" shrinkToFit="1"/>
      <protection locked="0"/>
    </xf>
    <xf numFmtId="0" fontId="3" fillId="0" borderId="2" xfId="1" applyFont="1" applyFill="1" applyBorder="1" applyAlignment="1">
      <alignment horizontal="center" vertical="center"/>
    </xf>
    <xf numFmtId="0" fontId="3" fillId="0" borderId="2" xfId="1" applyFont="1" applyFill="1" applyBorder="1" applyAlignment="1">
      <alignment horizontal="center" vertical="center" wrapText="1"/>
    </xf>
    <xf numFmtId="0" fontId="3" fillId="0" borderId="46" xfId="1" applyFont="1" applyBorder="1" applyAlignment="1">
      <alignment horizontal="center" vertical="center"/>
    </xf>
    <xf numFmtId="0" fontId="3" fillId="0" borderId="44" xfId="1" applyFont="1" applyBorder="1" applyAlignment="1">
      <alignment horizontal="center" vertical="center"/>
    </xf>
    <xf numFmtId="176" fontId="3" fillId="2" borderId="35" xfId="1" applyNumberFormat="1" applyFont="1" applyFill="1" applyBorder="1" applyAlignment="1" applyProtection="1">
      <alignment horizontal="center" vertical="center"/>
      <protection locked="0"/>
    </xf>
    <xf numFmtId="176" fontId="3" fillId="2" borderId="36" xfId="1" applyNumberFormat="1" applyFont="1" applyFill="1" applyBorder="1" applyAlignment="1" applyProtection="1">
      <alignment horizontal="center" vertical="center"/>
      <protection locked="0"/>
    </xf>
    <xf numFmtId="176" fontId="3" fillId="2" borderId="69" xfId="1" applyNumberFormat="1" applyFont="1" applyFill="1" applyBorder="1" applyAlignment="1" applyProtection="1">
      <alignment horizontal="center" vertical="center"/>
      <protection locked="0"/>
    </xf>
    <xf numFmtId="176" fontId="3" fillId="2" borderId="43" xfId="1" applyNumberFormat="1" applyFont="1" applyFill="1" applyBorder="1" applyAlignment="1" applyProtection="1">
      <alignment horizontal="center" vertical="center"/>
      <protection locked="0"/>
    </xf>
    <xf numFmtId="176" fontId="3" fillId="2" borderId="44" xfId="1" applyNumberFormat="1" applyFont="1" applyFill="1" applyBorder="1" applyAlignment="1" applyProtection="1">
      <alignment horizontal="center" vertical="center"/>
      <protection locked="0"/>
    </xf>
    <xf numFmtId="176" fontId="3" fillId="2" borderId="45" xfId="1" applyNumberFormat="1" applyFont="1" applyFill="1" applyBorder="1" applyAlignment="1" applyProtection="1">
      <alignment horizontal="center" vertical="center"/>
      <protection locked="0"/>
    </xf>
    <xf numFmtId="0" fontId="3" fillId="0" borderId="46" xfId="1" applyFont="1" applyBorder="1" applyAlignment="1">
      <alignment horizontal="center" vertical="center" shrinkToFit="1"/>
    </xf>
    <xf numFmtId="0" fontId="3" fillId="0" borderId="44" xfId="1" applyFont="1" applyBorder="1" applyAlignment="1">
      <alignment horizontal="center" vertical="center" shrinkToFit="1"/>
    </xf>
    <xf numFmtId="0" fontId="3" fillId="0" borderId="57" xfId="1" applyFont="1" applyBorder="1" applyAlignment="1">
      <alignment horizontal="center" vertical="center" shrinkToFit="1"/>
    </xf>
    <xf numFmtId="186" fontId="3" fillId="0" borderId="43" xfId="1" applyNumberFormat="1" applyFont="1" applyBorder="1" applyAlignment="1">
      <alignment horizontal="center" vertical="center"/>
    </xf>
    <xf numFmtId="186" fontId="3" fillId="0" borderId="44" xfId="1" applyNumberFormat="1" applyFont="1" applyBorder="1" applyAlignment="1">
      <alignment horizontal="center" vertical="center"/>
    </xf>
    <xf numFmtId="187" fontId="3" fillId="0" borderId="44" xfId="1" applyNumberFormat="1" applyFont="1" applyBorder="1" applyAlignment="1">
      <alignment horizontal="center" vertical="center"/>
    </xf>
    <xf numFmtId="0" fontId="3" fillId="2" borderId="3" xfId="1" applyFont="1" applyFill="1" applyBorder="1" applyAlignment="1" applyProtection="1">
      <alignment horizontal="left" vertical="center" shrinkToFit="1"/>
      <protection locked="0"/>
    </xf>
    <xf numFmtId="0" fontId="3" fillId="2" borderId="5" xfId="1" applyFont="1" applyFill="1" applyBorder="1" applyAlignment="1" applyProtection="1">
      <alignment horizontal="left" vertical="center" shrinkToFit="1"/>
      <protection locked="0"/>
    </xf>
    <xf numFmtId="0" fontId="3" fillId="2" borderId="9" xfId="1" applyFont="1" applyFill="1" applyBorder="1" applyAlignment="1" applyProtection="1">
      <alignment horizontal="left" vertical="center" shrinkToFit="1"/>
      <protection locked="0"/>
    </xf>
    <xf numFmtId="0" fontId="3" fillId="2" borderId="10" xfId="1" applyFont="1" applyFill="1" applyBorder="1" applyAlignment="1" applyProtection="1">
      <alignment horizontal="left" vertical="center" shrinkToFit="1"/>
      <protection locked="0"/>
    </xf>
    <xf numFmtId="0" fontId="3" fillId="2" borderId="47" xfId="1" applyFont="1" applyFill="1" applyBorder="1" applyAlignment="1" applyProtection="1">
      <alignment horizontal="left" vertical="center" shrinkToFit="1"/>
      <protection locked="0"/>
    </xf>
    <xf numFmtId="0" fontId="3" fillId="2" borderId="48" xfId="1" applyFont="1" applyFill="1" applyBorder="1" applyAlignment="1" applyProtection="1">
      <alignment horizontal="left" vertical="center" shrinkToFit="1"/>
      <protection locked="0"/>
    </xf>
    <xf numFmtId="0" fontId="3" fillId="0" borderId="55" xfId="1" applyFont="1" applyFill="1" applyBorder="1" applyAlignment="1">
      <alignment horizontal="center" vertical="center"/>
    </xf>
    <xf numFmtId="0" fontId="3" fillId="0" borderId="56"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5" xfId="1" applyFont="1" applyFill="1" applyBorder="1" applyAlignment="1">
      <alignment horizontal="center" vertical="center"/>
    </xf>
    <xf numFmtId="0" fontId="3" fillId="2" borderId="21" xfId="1" applyFont="1" applyFill="1" applyBorder="1" applyAlignment="1" applyProtection="1">
      <alignment horizontal="left" vertical="center" shrinkToFit="1"/>
      <protection locked="0"/>
    </xf>
    <xf numFmtId="0" fontId="3" fillId="2" borderId="22" xfId="1" applyFont="1" applyFill="1" applyBorder="1" applyAlignment="1" applyProtection="1">
      <alignment horizontal="left" vertical="center" shrinkToFit="1"/>
      <protection locked="0"/>
    </xf>
    <xf numFmtId="0" fontId="3" fillId="2" borderId="6" xfId="1" applyFont="1" applyFill="1" applyBorder="1" applyAlignment="1" applyProtection="1">
      <alignment horizontal="center" vertical="center"/>
      <protection locked="0"/>
    </xf>
    <xf numFmtId="0" fontId="3" fillId="0" borderId="35" xfId="1" applyFont="1" applyBorder="1" applyAlignment="1">
      <alignment horizontal="center" vertical="center"/>
    </xf>
    <xf numFmtId="0" fontId="3" fillId="0" borderId="36" xfId="1" applyFont="1" applyBorder="1" applyAlignment="1">
      <alignment horizontal="center" vertical="center"/>
    </xf>
    <xf numFmtId="0" fontId="3" fillId="2" borderId="9" xfId="1" applyFont="1" applyFill="1" applyBorder="1" applyAlignment="1" applyProtection="1">
      <alignment horizontal="left" vertical="center"/>
      <protection locked="0"/>
    </xf>
    <xf numFmtId="0" fontId="3" fillId="2" borderId="10" xfId="1" applyFont="1" applyFill="1" applyBorder="1" applyAlignment="1" applyProtection="1">
      <alignment horizontal="left" vertical="center"/>
      <protection locked="0"/>
    </xf>
    <xf numFmtId="0" fontId="3" fillId="0" borderId="3" xfId="1" applyFont="1" applyBorder="1" applyAlignment="1">
      <alignment horizontal="center" vertical="center" shrinkToFit="1"/>
    </xf>
    <xf numFmtId="0" fontId="3" fillId="0" borderId="4" xfId="1" applyFont="1" applyBorder="1" applyAlignment="1">
      <alignment horizontal="center" vertical="center" shrinkToFit="1"/>
    </xf>
    <xf numFmtId="0" fontId="3" fillId="0" borderId="5" xfId="1" applyFont="1" applyBorder="1" applyAlignment="1">
      <alignment horizontal="center" vertical="center" shrinkToFit="1"/>
    </xf>
    <xf numFmtId="176" fontId="3" fillId="2" borderId="3" xfId="1" applyNumberFormat="1" applyFont="1" applyFill="1" applyBorder="1" applyAlignment="1" applyProtection="1">
      <alignment horizontal="center" vertical="center"/>
      <protection locked="0"/>
    </xf>
    <xf numFmtId="176" fontId="3" fillId="2" borderId="4" xfId="1" applyNumberFormat="1" applyFont="1" applyFill="1" applyBorder="1" applyAlignment="1" applyProtection="1">
      <alignment horizontal="center" vertical="center"/>
      <protection locked="0"/>
    </xf>
    <xf numFmtId="176" fontId="3" fillId="2" borderId="5" xfId="1" applyNumberFormat="1" applyFont="1" applyFill="1" applyBorder="1" applyAlignment="1" applyProtection="1">
      <alignment horizontal="center" vertical="center"/>
      <protection locked="0"/>
    </xf>
    <xf numFmtId="0" fontId="3" fillId="0" borderId="6" xfId="1" applyFont="1" applyFill="1" applyBorder="1" applyAlignment="1">
      <alignment horizontal="center" vertical="center"/>
    </xf>
    <xf numFmtId="178" fontId="3" fillId="2" borderId="6" xfId="1" applyNumberFormat="1" applyFont="1" applyFill="1" applyBorder="1" applyAlignment="1" applyProtection="1">
      <alignment horizontal="center" vertical="center"/>
      <protection locked="0"/>
    </xf>
    <xf numFmtId="0" fontId="3" fillId="0" borderId="2" xfId="1" applyFont="1" applyBorder="1" applyAlignment="1">
      <alignment horizontal="center" vertical="center" wrapText="1" shrinkToFit="1"/>
    </xf>
    <xf numFmtId="0" fontId="10" fillId="0" borderId="2" xfId="1" applyFont="1" applyBorder="1" applyAlignment="1">
      <alignment horizontal="center" vertical="center" wrapText="1" shrinkToFit="1"/>
    </xf>
    <xf numFmtId="0" fontId="3" fillId="0" borderId="3" xfId="0" quotePrefix="1" applyFont="1" applyFill="1" applyBorder="1" applyAlignment="1">
      <alignment horizontal="center" vertical="center"/>
    </xf>
    <xf numFmtId="0" fontId="3" fillId="0" borderId="4" xfId="0" quotePrefix="1" applyFont="1" applyFill="1" applyBorder="1" applyAlignment="1">
      <alignment horizontal="center" vertical="center"/>
    </xf>
    <xf numFmtId="0" fontId="3" fillId="0" borderId="5" xfId="0" quotePrefix="1"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5" xfId="0" applyFont="1" applyFill="1" applyBorder="1" applyAlignment="1">
      <alignment horizontal="center" shrinkToFit="1"/>
    </xf>
    <xf numFmtId="0" fontId="3" fillId="0" borderId="3" xfId="0" quotePrefix="1" applyFont="1" applyFill="1" applyBorder="1" applyAlignment="1">
      <alignment horizontal="center" vertical="center" shrinkToFit="1"/>
    </xf>
    <xf numFmtId="0" fontId="3" fillId="0" borderId="4" xfId="0" quotePrefix="1" applyFont="1" applyFill="1" applyBorder="1" applyAlignment="1">
      <alignment horizontal="center" vertical="center" shrinkToFit="1"/>
    </xf>
    <xf numFmtId="0" fontId="3" fillId="0" borderId="5" xfId="0" quotePrefix="1" applyFont="1" applyFill="1" applyBorder="1" applyAlignment="1">
      <alignment horizontal="center" vertical="center" shrinkToFit="1"/>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quotePrefix="1" applyFont="1" applyFill="1" applyBorder="1" applyAlignment="1">
      <alignment horizontal="center" vertical="center"/>
    </xf>
    <xf numFmtId="0" fontId="3" fillId="0" borderId="25" xfId="0" quotePrefix="1" applyFont="1" applyFill="1" applyBorder="1" applyAlignment="1">
      <alignment horizontal="center" vertical="center"/>
    </xf>
    <xf numFmtId="0" fontId="3" fillId="0" borderId="26" xfId="0" quotePrefix="1" applyFont="1" applyFill="1" applyBorder="1" applyAlignment="1">
      <alignment horizontal="center" vertical="center"/>
    </xf>
    <xf numFmtId="0" fontId="3" fillId="0" borderId="6" xfId="0" quotePrefix="1" applyFont="1" applyFill="1" applyBorder="1" applyAlignment="1">
      <alignment horizontal="center" vertical="center"/>
    </xf>
    <xf numFmtId="0" fontId="3" fillId="0" borderId="16" xfId="0" quotePrefix="1" applyFont="1" applyFill="1" applyBorder="1" applyAlignment="1">
      <alignment horizontal="center" vertical="center"/>
    </xf>
    <xf numFmtId="0" fontId="3" fillId="0" borderId="7" xfId="0" quotePrefix="1" applyFont="1" applyFill="1" applyBorder="1" applyAlignment="1">
      <alignment horizontal="center" vertical="center"/>
    </xf>
    <xf numFmtId="0" fontId="3" fillId="0" borderId="23" xfId="0" applyFont="1" applyFill="1" applyBorder="1" applyAlignment="1">
      <alignment horizontal="center" vertical="center"/>
    </xf>
    <xf numFmtId="0" fontId="3" fillId="0" borderId="58" xfId="1" applyFont="1" applyBorder="1" applyAlignment="1">
      <alignment horizontal="center" vertical="center"/>
    </xf>
    <xf numFmtId="0" fontId="3" fillId="0" borderId="59" xfId="1" applyFont="1" applyBorder="1" applyAlignment="1">
      <alignment horizontal="center" vertical="center"/>
    </xf>
    <xf numFmtId="0" fontId="3" fillId="0" borderId="2" xfId="1" applyFont="1" applyBorder="1" applyAlignment="1">
      <alignment horizontal="center" vertical="center" shrinkToFit="1"/>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2" borderId="21" xfId="1" applyNumberFormat="1" applyFont="1" applyFill="1" applyBorder="1" applyAlignment="1" applyProtection="1">
      <alignment horizontal="left" vertical="center" shrinkToFit="1"/>
      <protection locked="0"/>
    </xf>
    <xf numFmtId="0" fontId="3" fillId="2" borderId="22" xfId="1" applyNumberFormat="1" applyFont="1" applyFill="1" applyBorder="1" applyAlignment="1" applyProtection="1">
      <alignment horizontal="left" vertical="center" shrinkToFit="1"/>
      <protection locked="0"/>
    </xf>
    <xf numFmtId="0" fontId="3" fillId="2" borderId="3" xfId="1" applyNumberFormat="1" applyFont="1" applyFill="1" applyBorder="1" applyAlignment="1" applyProtection="1">
      <alignment horizontal="left" vertical="center" shrinkToFit="1"/>
      <protection locked="0"/>
    </xf>
    <xf numFmtId="0" fontId="3" fillId="2" borderId="5" xfId="1" applyNumberFormat="1" applyFont="1" applyFill="1" applyBorder="1" applyAlignment="1" applyProtection="1">
      <alignment horizontal="left" vertical="center" shrinkToFit="1"/>
      <protection locked="0"/>
    </xf>
    <xf numFmtId="0" fontId="3" fillId="0" borderId="6" xfId="1" applyFont="1" applyBorder="1" applyAlignment="1">
      <alignment horizontal="center" vertical="center" wrapText="1" shrinkToFit="1"/>
    </xf>
    <xf numFmtId="0" fontId="3" fillId="0" borderId="7" xfId="1" applyFont="1" applyBorder="1" applyAlignment="1">
      <alignment horizontal="center" vertical="center" wrapText="1"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6" xfId="1" applyFont="1" applyBorder="1" applyAlignment="1">
      <alignment horizontal="left" vertical="center" shrinkToFit="1"/>
    </xf>
    <xf numFmtId="0" fontId="3" fillId="0" borderId="44" xfId="1" applyFont="1" applyBorder="1" applyAlignment="1">
      <alignment horizontal="left" vertical="center" shrinkToFit="1"/>
    </xf>
    <xf numFmtId="0" fontId="3" fillId="0" borderId="57" xfId="1" applyFont="1" applyBorder="1" applyAlignment="1">
      <alignment horizontal="left" vertical="center" shrinkToFit="1"/>
    </xf>
    <xf numFmtId="180" fontId="11" fillId="0" borderId="3" xfId="1" applyNumberFormat="1" applyFont="1" applyBorder="1" applyAlignment="1">
      <alignment horizontal="center" vertical="center"/>
    </xf>
    <xf numFmtId="180" fontId="11" fillId="0" borderId="4" xfId="1" applyNumberFormat="1" applyFont="1" applyBorder="1" applyAlignment="1">
      <alignment horizontal="center" vertical="center"/>
    </xf>
    <xf numFmtId="180" fontId="11" fillId="0" borderId="5" xfId="1" applyNumberFormat="1" applyFont="1" applyBorder="1" applyAlignment="1">
      <alignment horizontal="center" vertical="center"/>
    </xf>
    <xf numFmtId="180" fontId="11" fillId="0" borderId="43" xfId="1" applyNumberFormat="1" applyFont="1" applyBorder="1" applyAlignment="1">
      <alignment horizontal="center" vertical="center"/>
    </xf>
    <xf numFmtId="180" fontId="11" fillId="0" borderId="44" xfId="1" applyNumberFormat="1" applyFont="1" applyBorder="1" applyAlignment="1">
      <alignment horizontal="center" vertical="center"/>
    </xf>
    <xf numFmtId="185" fontId="11" fillId="0" borderId="44" xfId="1" applyNumberFormat="1" applyFont="1" applyBorder="1" applyAlignment="1">
      <alignment horizontal="center" vertical="center" shrinkToFit="1"/>
    </xf>
    <xf numFmtId="0" fontId="6" fillId="0" borderId="2" xfId="0" applyFont="1" applyBorder="1" applyAlignment="1">
      <alignment horizontal="center" vertical="center"/>
    </xf>
    <xf numFmtId="0" fontId="6" fillId="0" borderId="9" xfId="0" applyFont="1" applyBorder="1" applyAlignment="1">
      <alignment horizontal="left" vertic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vertical="center" wrapText="1"/>
    </xf>
    <xf numFmtId="0" fontId="6" fillId="0" borderId="1" xfId="0" applyFont="1" applyBorder="1" applyAlignment="1">
      <alignment vertical="center"/>
    </xf>
    <xf numFmtId="0" fontId="6" fillId="0" borderId="17"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 xfId="0" applyFont="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70" xfId="0" applyFont="1" applyFill="1" applyBorder="1" applyAlignment="1">
      <alignment horizontal="center" vertical="center" wrapText="1"/>
    </xf>
    <xf numFmtId="0" fontId="6" fillId="3" borderId="71" xfId="0" applyFont="1" applyFill="1" applyBorder="1" applyAlignment="1">
      <alignment horizontal="center"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cellXfs>
  <cellStyles count="3">
    <cellStyle name="桁区切り" xfId="2" builtinId="6"/>
    <cellStyle name="標準" xfId="0" builtinId="0"/>
    <cellStyle name="標準 2" xfId="1"/>
  </cellStyles>
  <dxfs count="0"/>
  <tableStyles count="0" defaultTableStyle="TableStyleMedium2" defaultPivotStyle="PivotStyleMedium9"/>
  <colors>
    <mruColors>
      <color rgb="FFFFFF99"/>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mlaLink="判定!$C$4"/>
</file>

<file path=xl/ctrlProps/ctrlProp19.xml><?xml version="1.0" encoding="utf-8"?>
<formControlPr xmlns="http://schemas.microsoft.com/office/spreadsheetml/2009/9/main" objectType="CheckBox" fmlaLink="判定!$D$4"/>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mlaLink="判定!$E$4"/>
</file>

<file path=xl/ctrlProps/ctrlProp21.xml><?xml version="1.0" encoding="utf-8"?>
<formControlPr xmlns="http://schemas.microsoft.com/office/spreadsheetml/2009/9/main" objectType="CheckBox" fmlaLink="判定!$F$4"/>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mlaLink="判定!$C$8"/>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mlaLink="判定!$D$8"/>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47</xdr:row>
          <xdr:rowOff>31750</xdr:rowOff>
        </xdr:from>
        <xdr:to>
          <xdr:col>0</xdr:col>
          <xdr:colOff>247650</xdr:colOff>
          <xdr:row>47</xdr:row>
          <xdr:rowOff>222250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48</xdr:row>
          <xdr:rowOff>31750</xdr:rowOff>
        </xdr:from>
        <xdr:to>
          <xdr:col>0</xdr:col>
          <xdr:colOff>247650</xdr:colOff>
          <xdr:row>48</xdr:row>
          <xdr:rowOff>222250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31750</xdr:rowOff>
        </xdr:from>
        <xdr:to>
          <xdr:col>0</xdr:col>
          <xdr:colOff>247650</xdr:colOff>
          <xdr:row>49</xdr:row>
          <xdr:rowOff>222250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12700</xdr:colOff>
          <xdr:row>32</xdr:row>
          <xdr:rowOff>12700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30</xdr:row>
          <xdr:rowOff>184150</xdr:rowOff>
        </xdr:from>
        <xdr:to>
          <xdr:col>6</xdr:col>
          <xdr:colOff>393700</xdr:colOff>
          <xdr:row>31</xdr:row>
          <xdr:rowOff>171450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32</xdr:row>
          <xdr:rowOff>190500</xdr:rowOff>
        </xdr:from>
        <xdr:to>
          <xdr:col>3</xdr:col>
          <xdr:colOff>0</xdr:colOff>
          <xdr:row>34</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34</xdr:row>
          <xdr:rowOff>0</xdr:rowOff>
        </xdr:from>
        <xdr:to>
          <xdr:col>3</xdr:col>
          <xdr:colOff>0</xdr:colOff>
          <xdr:row>35</xdr:row>
          <xdr:rowOff>12700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36</xdr:row>
          <xdr:rowOff>12700</xdr:rowOff>
        </xdr:from>
        <xdr:to>
          <xdr:col>3</xdr:col>
          <xdr:colOff>19050</xdr:colOff>
          <xdr:row>37</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584200</xdr:colOff>
          <xdr:row>36</xdr:row>
          <xdr:rowOff>19050</xdr:rowOff>
        </xdr:from>
        <xdr:to>
          <xdr:col>4</xdr:col>
          <xdr:colOff>31750</xdr:colOff>
          <xdr:row>37</xdr:row>
          <xdr:rowOff>12700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36</xdr:row>
          <xdr:rowOff>31750</xdr:rowOff>
        </xdr:from>
        <xdr:to>
          <xdr:col>7</xdr:col>
          <xdr:colOff>31750</xdr:colOff>
          <xdr:row>37</xdr:row>
          <xdr:rowOff>19050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29</xdr:row>
          <xdr:rowOff>12700</xdr:rowOff>
        </xdr:from>
        <xdr:to>
          <xdr:col>3</xdr:col>
          <xdr:colOff>19050</xdr:colOff>
          <xdr:row>30</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29</xdr:row>
          <xdr:rowOff>0</xdr:rowOff>
        </xdr:from>
        <xdr:to>
          <xdr:col>6</xdr:col>
          <xdr:colOff>393700</xdr:colOff>
          <xdr:row>30</xdr:row>
          <xdr:rowOff>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36</xdr:row>
          <xdr:rowOff>19050</xdr:rowOff>
        </xdr:from>
        <xdr:to>
          <xdr:col>5</xdr:col>
          <xdr:colOff>342900</xdr:colOff>
          <xdr:row>37</xdr:row>
          <xdr:rowOff>19050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37</xdr:row>
          <xdr:rowOff>190500</xdr:rowOff>
        </xdr:from>
        <xdr:to>
          <xdr:col>3</xdr:col>
          <xdr:colOff>0</xdr:colOff>
          <xdr:row>38</xdr:row>
          <xdr:rowOff>184150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39</xdr:row>
          <xdr:rowOff>190500</xdr:rowOff>
        </xdr:from>
        <xdr:to>
          <xdr:col>3</xdr:col>
          <xdr:colOff>0</xdr:colOff>
          <xdr:row>40</xdr:row>
          <xdr:rowOff>184150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39</xdr:row>
          <xdr:rowOff>190500</xdr:rowOff>
        </xdr:from>
        <xdr:to>
          <xdr:col>7</xdr:col>
          <xdr:colOff>419100</xdr:colOff>
          <xdr:row>40</xdr:row>
          <xdr:rowOff>184150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38</xdr:row>
          <xdr:rowOff>190500</xdr:rowOff>
        </xdr:from>
        <xdr:to>
          <xdr:col>2</xdr:col>
          <xdr:colOff>374650</xdr:colOff>
          <xdr:row>39</xdr:row>
          <xdr:rowOff>184150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39</xdr:row>
          <xdr:rowOff>190500</xdr:rowOff>
        </xdr:from>
        <xdr:to>
          <xdr:col>2</xdr:col>
          <xdr:colOff>374650</xdr:colOff>
          <xdr:row>40</xdr:row>
          <xdr:rowOff>184150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184150</xdr:colOff>
          <xdr:row>38</xdr:row>
          <xdr:rowOff>12700</xdr:rowOff>
        </xdr:from>
        <xdr:to>
          <xdr:col>13</xdr:col>
          <xdr:colOff>95250</xdr:colOff>
          <xdr:row>38</xdr:row>
          <xdr:rowOff>190500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19</xdr:row>
          <xdr:rowOff>50800</xdr:rowOff>
        </xdr:from>
        <xdr:to>
          <xdr:col>2</xdr:col>
          <xdr:colOff>336550</xdr:colOff>
          <xdr:row>19</xdr:row>
          <xdr:rowOff>228600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19</xdr:row>
          <xdr:rowOff>50800</xdr:rowOff>
        </xdr:from>
        <xdr:to>
          <xdr:col>4</xdr:col>
          <xdr:colOff>361950</xdr:colOff>
          <xdr:row>19</xdr:row>
          <xdr:rowOff>228600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184150</xdr:colOff>
          <xdr:row>19</xdr:row>
          <xdr:rowOff>50800</xdr:rowOff>
        </xdr:from>
        <xdr:to>
          <xdr:col>6</xdr:col>
          <xdr:colOff>419100</xdr:colOff>
          <xdr:row>19</xdr:row>
          <xdr:rowOff>228600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19</xdr:row>
          <xdr:rowOff>50800</xdr:rowOff>
        </xdr:from>
        <xdr:to>
          <xdr:col>8</xdr:col>
          <xdr:colOff>431800</xdr:colOff>
          <xdr:row>19</xdr:row>
          <xdr:rowOff>228600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59</xdr:row>
          <xdr:rowOff>31750</xdr:rowOff>
        </xdr:from>
        <xdr:to>
          <xdr:col>0</xdr:col>
          <xdr:colOff>247650</xdr:colOff>
          <xdr:row>59</xdr:row>
          <xdr:rowOff>222250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58</xdr:row>
          <xdr:rowOff>31750</xdr:rowOff>
        </xdr:from>
        <xdr:to>
          <xdr:col>0</xdr:col>
          <xdr:colOff>247650</xdr:colOff>
          <xdr:row>58</xdr:row>
          <xdr:rowOff>222250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56</xdr:row>
          <xdr:rowOff>31750</xdr:rowOff>
        </xdr:from>
        <xdr:to>
          <xdr:col>0</xdr:col>
          <xdr:colOff>247650</xdr:colOff>
          <xdr:row>56</xdr:row>
          <xdr:rowOff>222250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55</xdr:row>
          <xdr:rowOff>31750</xdr:rowOff>
        </xdr:from>
        <xdr:to>
          <xdr:col>0</xdr:col>
          <xdr:colOff>247650</xdr:colOff>
          <xdr:row>55</xdr:row>
          <xdr:rowOff>222250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54</xdr:row>
          <xdr:rowOff>31750</xdr:rowOff>
        </xdr:from>
        <xdr:to>
          <xdr:col>0</xdr:col>
          <xdr:colOff>247650</xdr:colOff>
          <xdr:row>54</xdr:row>
          <xdr:rowOff>222250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52</xdr:row>
          <xdr:rowOff>31750</xdr:rowOff>
        </xdr:from>
        <xdr:to>
          <xdr:col>0</xdr:col>
          <xdr:colOff>247650</xdr:colOff>
          <xdr:row>52</xdr:row>
          <xdr:rowOff>222250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51</xdr:row>
          <xdr:rowOff>31750</xdr:rowOff>
        </xdr:from>
        <xdr:to>
          <xdr:col>0</xdr:col>
          <xdr:colOff>247650</xdr:colOff>
          <xdr:row>51</xdr:row>
          <xdr:rowOff>222250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31750</xdr:rowOff>
        </xdr:from>
        <xdr:to>
          <xdr:col>0</xdr:col>
          <xdr:colOff>247650</xdr:colOff>
          <xdr:row>50</xdr:row>
          <xdr:rowOff>222250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57</xdr:row>
          <xdr:rowOff>31750</xdr:rowOff>
        </xdr:from>
        <xdr:to>
          <xdr:col>0</xdr:col>
          <xdr:colOff>247650</xdr:colOff>
          <xdr:row>57</xdr:row>
          <xdr:rowOff>222250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184150</xdr:colOff>
          <xdr:row>39</xdr:row>
          <xdr:rowOff>12700</xdr:rowOff>
        </xdr:from>
        <xdr:to>
          <xdr:col>13</xdr:col>
          <xdr:colOff>95250</xdr:colOff>
          <xdr:row>39</xdr:row>
          <xdr:rowOff>190500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184150</xdr:colOff>
          <xdr:row>40</xdr:row>
          <xdr:rowOff>12700</xdr:rowOff>
        </xdr:from>
        <xdr:to>
          <xdr:col>13</xdr:col>
          <xdr:colOff>95250</xdr:colOff>
          <xdr:row>40</xdr:row>
          <xdr:rowOff>190500</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53</xdr:row>
          <xdr:rowOff>31750</xdr:rowOff>
        </xdr:from>
        <xdr:to>
          <xdr:col>0</xdr:col>
          <xdr:colOff>247650</xdr:colOff>
          <xdr:row>53</xdr:row>
          <xdr:rowOff>222250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38</xdr:row>
          <xdr:rowOff>190500</xdr:rowOff>
        </xdr:from>
        <xdr:to>
          <xdr:col>7</xdr:col>
          <xdr:colOff>419100</xdr:colOff>
          <xdr:row>39</xdr:row>
          <xdr:rowOff>184150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37</xdr:row>
          <xdr:rowOff>190500</xdr:rowOff>
        </xdr:from>
        <xdr:to>
          <xdr:col>7</xdr:col>
          <xdr:colOff>419100</xdr:colOff>
          <xdr:row>38</xdr:row>
          <xdr:rowOff>184150</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7</xdr:row>
          <xdr:rowOff>165100</xdr:rowOff>
        </xdr:from>
        <xdr:to>
          <xdr:col>0</xdr:col>
          <xdr:colOff>336550</xdr:colOff>
          <xdr:row>9</xdr:row>
          <xdr:rowOff>50800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8</xdr:row>
          <xdr:rowOff>165100</xdr:rowOff>
        </xdr:from>
        <xdr:to>
          <xdr:col>0</xdr:col>
          <xdr:colOff>336550</xdr:colOff>
          <xdr:row>10</xdr:row>
          <xdr:rowOff>50800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165100</xdr:rowOff>
        </xdr:from>
        <xdr:to>
          <xdr:col>0</xdr:col>
          <xdr:colOff>336550</xdr:colOff>
          <xdr:row>11</xdr:row>
          <xdr:rowOff>50800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11</xdr:row>
          <xdr:rowOff>190500</xdr:rowOff>
        </xdr:from>
        <xdr:to>
          <xdr:col>0</xdr:col>
          <xdr:colOff>317500</xdr:colOff>
          <xdr:row>13</xdr:row>
          <xdr:rowOff>50800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xdr:row>
          <xdr:rowOff>165100</xdr:rowOff>
        </xdr:from>
        <xdr:to>
          <xdr:col>0</xdr:col>
          <xdr:colOff>336550</xdr:colOff>
          <xdr:row>14</xdr:row>
          <xdr:rowOff>50800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17</xdr:row>
          <xdr:rowOff>152400</xdr:rowOff>
        </xdr:from>
        <xdr:to>
          <xdr:col>0</xdr:col>
          <xdr:colOff>336550</xdr:colOff>
          <xdr:row>19</xdr:row>
          <xdr:rowOff>50800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15</xdr:row>
          <xdr:rowOff>0</xdr:rowOff>
        </xdr:from>
        <xdr:to>
          <xdr:col>0</xdr:col>
          <xdr:colOff>336550</xdr:colOff>
          <xdr:row>16</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15</xdr:row>
          <xdr:rowOff>133350</xdr:rowOff>
        </xdr:from>
        <xdr:to>
          <xdr:col>0</xdr:col>
          <xdr:colOff>336550</xdr:colOff>
          <xdr:row>17</xdr:row>
          <xdr:rowOff>50800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6</xdr:row>
          <xdr:rowOff>165100</xdr:rowOff>
        </xdr:from>
        <xdr:to>
          <xdr:col>0</xdr:col>
          <xdr:colOff>355600</xdr:colOff>
          <xdr:row>12</xdr:row>
          <xdr:rowOff>69850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2.vml"/><Relationship Id="rId7" Type="http://schemas.openxmlformats.org/officeDocument/2006/relationships/ctrlProp" Target="../ctrlProps/ctrlProp4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0" Type="http://schemas.openxmlformats.org/officeDocument/2006/relationships/ctrlProp" Target="../ctrlProps/ctrlProp44.xml"/><Relationship Id="rId4" Type="http://schemas.openxmlformats.org/officeDocument/2006/relationships/ctrlProp" Target="../ctrlProps/ctrlProp38.xml"/><Relationship Id="rId9" Type="http://schemas.openxmlformats.org/officeDocument/2006/relationships/ctrlProp" Target="../ctrlProps/ctrlProp4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4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1"/>
  <sheetViews>
    <sheetView tabSelected="1" view="pageBreakPreview" zoomScale="115" zoomScaleNormal="100" zoomScaleSheetLayoutView="115" workbookViewId="0">
      <selection activeCell="M4" sqref="M4"/>
    </sheetView>
  </sheetViews>
  <sheetFormatPr defaultColWidth="9" defaultRowHeight="13" x14ac:dyDescent="0.2"/>
  <cols>
    <col min="1" max="1" width="4" style="204" customWidth="1"/>
    <col min="2" max="2" width="9.7265625" style="204" customWidth="1"/>
    <col min="3" max="3" width="5.453125" style="204" customWidth="1"/>
    <col min="4" max="4" width="10.7265625" style="204" customWidth="1"/>
    <col min="5" max="5" width="6.26953125" style="204" customWidth="1"/>
    <col min="6" max="6" width="9" style="204"/>
    <col min="7" max="7" width="7.453125" style="204" customWidth="1"/>
    <col min="8" max="8" width="7.08984375" style="204" customWidth="1"/>
    <col min="9" max="9" width="8" style="204" customWidth="1"/>
    <col min="10" max="11" width="3.6328125" style="204" customWidth="1"/>
    <col min="12" max="12" width="11.90625" style="204" customWidth="1"/>
    <col min="13" max="13" width="3.6328125" style="204" customWidth="1"/>
    <col min="14" max="14" width="3.7265625" style="204" customWidth="1"/>
    <col min="15" max="15" width="4.36328125" style="204" customWidth="1"/>
    <col min="16" max="16" width="3.6328125" style="204" customWidth="1"/>
    <col min="17" max="17" width="4.36328125" style="204" customWidth="1"/>
    <col min="18" max="18" width="4.6328125" style="204" customWidth="1"/>
    <col min="19" max="19" width="9" style="204"/>
    <col min="20" max="20" width="9.453125" style="204" bestFit="1" customWidth="1"/>
    <col min="21" max="16384" width="9" style="204"/>
  </cols>
  <sheetData>
    <row r="1" spans="1:24" s="63" customFormat="1" ht="20.149999999999999" customHeight="1" x14ac:dyDescent="0.2">
      <c r="A1" s="63" t="s">
        <v>12</v>
      </c>
      <c r="G1" s="281"/>
      <c r="V1" s="135"/>
    </row>
    <row r="2" spans="1:24" s="63" customFormat="1" ht="20.149999999999999" customHeight="1" x14ac:dyDescent="0.2">
      <c r="A2" s="326" t="s">
        <v>107</v>
      </c>
      <c r="B2" s="326"/>
      <c r="C2" s="326"/>
      <c r="D2" s="326"/>
      <c r="E2" s="326"/>
      <c r="F2" s="326"/>
      <c r="G2" s="326"/>
      <c r="H2" s="326"/>
      <c r="I2" s="326"/>
      <c r="J2" s="326"/>
      <c r="K2" s="326"/>
      <c r="L2" s="326"/>
      <c r="M2" s="326"/>
      <c r="N2" s="326"/>
      <c r="O2" s="326"/>
      <c r="P2" s="326"/>
      <c r="Q2" s="326"/>
      <c r="R2" s="326"/>
      <c r="V2" s="136"/>
    </row>
    <row r="3" spans="1:24" s="63" customFormat="1" ht="15.75" customHeight="1" x14ac:dyDescent="0.2">
      <c r="A3" s="233"/>
      <c r="B3" s="233"/>
      <c r="C3" s="233"/>
      <c r="D3" s="233"/>
      <c r="E3" s="233"/>
      <c r="F3" s="233"/>
      <c r="G3" s="233"/>
      <c r="H3" s="233"/>
      <c r="I3" s="233"/>
      <c r="J3" s="233"/>
      <c r="K3" s="233"/>
      <c r="L3" s="233"/>
      <c r="M3" s="233"/>
      <c r="N3" s="233"/>
      <c r="O3" s="233"/>
      <c r="P3" s="233"/>
      <c r="Q3" s="233"/>
      <c r="R3" s="233"/>
      <c r="V3" s="136"/>
    </row>
    <row r="4" spans="1:24" s="63" customFormat="1" ht="20.149999999999999" customHeight="1" x14ac:dyDescent="0.2">
      <c r="J4" s="170"/>
      <c r="K4" s="170"/>
      <c r="L4" s="282" t="s">
        <v>155</v>
      </c>
      <c r="M4" s="283"/>
      <c r="N4" s="284" t="s">
        <v>154</v>
      </c>
      <c r="O4" s="283"/>
      <c r="P4" s="285" t="s">
        <v>244</v>
      </c>
      <c r="Q4" s="283"/>
      <c r="R4" s="282" t="s">
        <v>243</v>
      </c>
      <c r="T4" s="286"/>
      <c r="V4" s="136"/>
    </row>
    <row r="5" spans="1:24" s="63" customFormat="1" ht="15.75" customHeight="1" x14ac:dyDescent="0.2">
      <c r="R5" s="137"/>
      <c r="T5" s="286"/>
      <c r="V5" s="136"/>
    </row>
    <row r="6" spans="1:24" s="63" customFormat="1" ht="20.149999999999999" customHeight="1" x14ac:dyDescent="0.2">
      <c r="A6" s="63" t="s">
        <v>160</v>
      </c>
      <c r="T6" s="286"/>
      <c r="V6" s="137"/>
    </row>
    <row r="7" spans="1:24" s="63" customFormat="1" ht="15" customHeight="1" x14ac:dyDescent="0.2">
      <c r="V7" s="137"/>
    </row>
    <row r="8" spans="1:24" s="63" customFormat="1" ht="20.149999999999999" customHeight="1" x14ac:dyDescent="0.2">
      <c r="I8" s="63" t="s">
        <v>3</v>
      </c>
      <c r="J8" s="171"/>
      <c r="K8" s="171"/>
      <c r="L8" s="171"/>
      <c r="M8" s="171"/>
      <c r="N8" s="171"/>
      <c r="O8" s="171"/>
      <c r="P8" s="171"/>
      <c r="Q8" s="171"/>
      <c r="V8" s="135"/>
    </row>
    <row r="9" spans="1:24" s="63" customFormat="1" ht="20.149999999999999" customHeight="1" x14ac:dyDescent="0.2">
      <c r="I9" s="366" t="s">
        <v>32</v>
      </c>
      <c r="J9" s="366"/>
      <c r="K9" s="171" t="s">
        <v>22</v>
      </c>
      <c r="L9" s="338"/>
      <c r="M9" s="338"/>
      <c r="N9" s="338"/>
      <c r="O9" s="170"/>
      <c r="P9" s="170"/>
      <c r="Q9" s="170"/>
      <c r="V9" s="135"/>
    </row>
    <row r="10" spans="1:24" s="63" customFormat="1" ht="20.149999999999999" customHeight="1" x14ac:dyDescent="0.2">
      <c r="J10" s="171"/>
      <c r="K10" s="338"/>
      <c r="L10" s="338"/>
      <c r="M10" s="338"/>
      <c r="N10" s="338"/>
      <c r="O10" s="338"/>
      <c r="P10" s="338"/>
      <c r="Q10" s="338"/>
    </row>
    <row r="11" spans="1:24" s="63" customFormat="1" ht="27.75" customHeight="1" x14ac:dyDescent="0.2">
      <c r="I11" s="366" t="s" ph="1">
        <v>9</v>
      </c>
      <c r="J11" s="366"/>
      <c r="K11" s="338" ph="1"/>
      <c r="L11" s="338"/>
      <c r="M11" s="338"/>
      <c r="N11" s="338"/>
      <c r="O11" s="338"/>
      <c r="P11" s="338"/>
      <c r="Q11" s="338"/>
      <c r="R11" s="40"/>
      <c r="V11" s="135"/>
    </row>
    <row r="12" spans="1:24" s="63" customFormat="1" ht="20.149999999999999" customHeight="1" x14ac:dyDescent="0.2">
      <c r="I12" s="335" t="s">
        <v>28</v>
      </c>
      <c r="J12" s="335"/>
      <c r="K12" s="338"/>
      <c r="L12" s="338"/>
      <c r="M12" s="338"/>
      <c r="N12" s="338"/>
      <c r="O12" s="338"/>
      <c r="P12" s="338"/>
      <c r="Q12" s="338"/>
      <c r="R12" s="172"/>
      <c r="V12" s="135" t="s">
        <v>2</v>
      </c>
    </row>
    <row r="13" spans="1:24" s="63" customFormat="1" ht="20.149999999999999" customHeight="1" x14ac:dyDescent="0.2">
      <c r="I13" s="365" t="s">
        <v>29</v>
      </c>
      <c r="J13" s="365"/>
      <c r="K13" s="343"/>
      <c r="L13" s="343"/>
      <c r="M13" s="343"/>
      <c r="N13" s="343"/>
      <c r="O13" s="343"/>
      <c r="P13" s="343"/>
      <c r="Q13" s="343"/>
      <c r="R13" s="172"/>
      <c r="V13" s="135" t="s" ph="1">
        <v>0</v>
      </c>
      <c r="W13" s="63" ph="1"/>
      <c r="X13" s="63" ph="1"/>
    </row>
    <row r="14" spans="1:24" s="63" customFormat="1" ht="19.5" customHeight="1" x14ac:dyDescent="0.2">
      <c r="A14" s="327" t="str">
        <f>IFERROR("　 令和 "&amp;YEAR((EDATE(DATEVALUE($L$4&amp;$M$4&amp;$N$4&amp;$O$4&amp;$P$4&amp;$Q$4&amp;$R$4),-3)))-2018&amp;" 年度において、下記のとおり福島県省エネルギー住宅改修補助事業を実施したいので、福島県省エネルギー住宅改修補助事業補助金交付要綱第７条の規定により、関係書類を添えて、下記のとおり申請します。","　 令和　　年度において、下記のとおり福島県省エネルギー住宅改修補助事業を実施したいので、福島県省エネルギー住宅改修補助事業補助金交付要綱第７条の規定により、関係書類を添えて、下記のとおり申請します。")</f>
        <v>　 令和　　年度において、下記のとおり福島県省エネルギー住宅改修補助事業を実施したいので、福島県省エネルギー住宅改修補助事業補助金交付要綱第７条の規定により、関係書類を添えて、下記のとおり申請します。</v>
      </c>
      <c r="B14" s="327"/>
      <c r="C14" s="327"/>
      <c r="D14" s="327"/>
      <c r="E14" s="327"/>
      <c r="F14" s="327"/>
      <c r="G14" s="327"/>
      <c r="H14" s="327"/>
      <c r="I14" s="327"/>
      <c r="J14" s="327"/>
      <c r="K14" s="327"/>
      <c r="L14" s="327"/>
      <c r="M14" s="327"/>
      <c r="N14" s="327"/>
      <c r="O14" s="327"/>
      <c r="P14" s="327"/>
      <c r="Q14" s="327"/>
      <c r="R14" s="327"/>
      <c r="V14" s="135"/>
    </row>
    <row r="15" spans="1:24" s="63" customFormat="1" ht="19.5" customHeight="1" x14ac:dyDescent="0.2">
      <c r="A15" s="327"/>
      <c r="B15" s="327"/>
      <c r="C15" s="327"/>
      <c r="D15" s="327"/>
      <c r="E15" s="327"/>
      <c r="F15" s="327"/>
      <c r="G15" s="327"/>
      <c r="H15" s="327"/>
      <c r="I15" s="327"/>
      <c r="J15" s="327"/>
      <c r="K15" s="327"/>
      <c r="L15" s="327"/>
      <c r="M15" s="327"/>
      <c r="N15" s="327"/>
      <c r="O15" s="327"/>
      <c r="P15" s="327"/>
      <c r="Q15" s="327"/>
      <c r="R15" s="327"/>
      <c r="V15" s="135" t="s">
        <v>1</v>
      </c>
    </row>
    <row r="16" spans="1:24" s="63" customFormat="1" ht="20.149999999999999" customHeight="1" x14ac:dyDescent="0.2">
      <c r="A16" s="328" t="s">
        <v>5</v>
      </c>
      <c r="B16" s="328"/>
      <c r="C16" s="328"/>
      <c r="D16" s="328"/>
      <c r="E16" s="328"/>
      <c r="F16" s="328"/>
      <c r="G16" s="328"/>
      <c r="H16" s="328"/>
      <c r="I16" s="328"/>
      <c r="J16" s="328"/>
      <c r="K16" s="328"/>
      <c r="L16" s="328"/>
      <c r="M16" s="328"/>
      <c r="N16" s="328"/>
      <c r="O16" s="328"/>
      <c r="P16" s="328"/>
      <c r="Q16" s="328"/>
      <c r="R16" s="328"/>
      <c r="V16" s="135" t="s">
        <v>4</v>
      </c>
    </row>
    <row r="17" spans="1:22" s="63" customFormat="1" ht="20.149999999999999" customHeight="1" x14ac:dyDescent="0.2">
      <c r="A17" s="138" t="s">
        <v>10</v>
      </c>
      <c r="V17" s="136"/>
    </row>
    <row r="18" spans="1:22" s="63" customFormat="1" ht="20.149999999999999" customHeight="1" x14ac:dyDescent="0.2">
      <c r="A18" s="329" t="s">
        <v>20</v>
      </c>
      <c r="B18" s="234" t="s">
        <v>11</v>
      </c>
      <c r="C18" s="4" t="s">
        <v>22</v>
      </c>
      <c r="D18" s="175"/>
      <c r="E18" s="330"/>
      <c r="F18" s="331"/>
      <c r="G18" s="331"/>
      <c r="H18" s="332"/>
      <c r="I18" s="234" t="s">
        <v>15</v>
      </c>
      <c r="J18" s="336"/>
      <c r="K18" s="337"/>
      <c r="L18" s="337"/>
      <c r="M18" s="337"/>
      <c r="N18" s="337"/>
      <c r="O18" s="337"/>
      <c r="P18" s="337"/>
      <c r="Q18" s="340" t="s">
        <v>16</v>
      </c>
      <c r="R18" s="317"/>
      <c r="T18" s="40"/>
      <c r="V18" s="135"/>
    </row>
    <row r="19" spans="1:22" s="63" customFormat="1" ht="20.149999999999999" customHeight="1" x14ac:dyDescent="0.2">
      <c r="A19" s="329"/>
      <c r="B19" s="234" t="s">
        <v>13</v>
      </c>
      <c r="C19" s="333"/>
      <c r="D19" s="334"/>
      <c r="E19" s="139" t="s">
        <v>14</v>
      </c>
      <c r="F19" s="137" t="s">
        <v>68</v>
      </c>
      <c r="G19" s="176"/>
      <c r="H19" s="140" t="s">
        <v>69</v>
      </c>
      <c r="I19" s="234" t="s">
        <v>18</v>
      </c>
      <c r="J19" s="336"/>
      <c r="K19" s="337"/>
      <c r="L19" s="337"/>
      <c r="M19" s="337"/>
      <c r="N19" s="337"/>
      <c r="O19" s="337"/>
      <c r="P19" s="337"/>
      <c r="Q19" s="341" t="s">
        <v>17</v>
      </c>
      <c r="R19" s="342"/>
    </row>
    <row r="20" spans="1:22" s="63" customFormat="1" ht="20.149999999999999" customHeight="1" x14ac:dyDescent="0.2">
      <c r="A20" s="329"/>
      <c r="B20" s="234" t="s">
        <v>23</v>
      </c>
      <c r="C20" s="287"/>
      <c r="D20" s="7" t="s">
        <v>156</v>
      </c>
      <c r="E20" s="287"/>
      <c r="F20" s="7" t="s">
        <v>24</v>
      </c>
      <c r="G20" s="287"/>
      <c r="H20" s="7" t="s">
        <v>25</v>
      </c>
      <c r="I20" s="287"/>
      <c r="J20" s="339" t="s">
        <v>26</v>
      </c>
      <c r="K20" s="339"/>
      <c r="L20" s="141" t="s">
        <v>19</v>
      </c>
      <c r="M20" s="363"/>
      <c r="N20" s="364"/>
      <c r="O20" s="364"/>
      <c r="P20" s="364"/>
      <c r="Q20" s="340" t="s">
        <v>21</v>
      </c>
      <c r="R20" s="317"/>
    </row>
    <row r="21" spans="1:22" s="63" customFormat="1" ht="19.5" customHeight="1" x14ac:dyDescent="0.2">
      <c r="A21" s="308" t="s">
        <v>30</v>
      </c>
      <c r="B21" s="309"/>
      <c r="C21" s="311"/>
      <c r="D21" s="311"/>
      <c r="E21" s="311"/>
      <c r="F21" s="311"/>
      <c r="G21" s="312" t="s">
        <v>31</v>
      </c>
      <c r="H21" s="312"/>
      <c r="I21" s="313"/>
      <c r="J21" s="314"/>
      <c r="K21" s="314"/>
      <c r="L21" s="314"/>
      <c r="M21" s="314"/>
      <c r="N21" s="314"/>
      <c r="O21" s="314"/>
      <c r="P21" s="314"/>
      <c r="Q21" s="314"/>
      <c r="R21" s="315"/>
    </row>
    <row r="22" spans="1:22" s="63" customFormat="1" ht="15" customHeight="1" x14ac:dyDescent="0.2">
      <c r="A22" s="142"/>
      <c r="B22" s="288"/>
      <c r="C22" s="288"/>
      <c r="D22" s="288"/>
      <c r="E22" s="288"/>
      <c r="F22" s="288"/>
      <c r="G22" s="242" t="s">
        <v>286</v>
      </c>
      <c r="H22" s="288"/>
      <c r="I22" s="170"/>
      <c r="J22" s="170"/>
      <c r="K22" s="170"/>
      <c r="L22" s="170"/>
      <c r="M22" s="170"/>
      <c r="N22" s="170"/>
      <c r="O22" s="170"/>
      <c r="P22" s="170"/>
      <c r="Q22" s="170"/>
      <c r="R22" s="170"/>
    </row>
    <row r="23" spans="1:22" s="63" customFormat="1" ht="20.149999999999999" customHeight="1" x14ac:dyDescent="0.2">
      <c r="A23" s="43" t="s">
        <v>114</v>
      </c>
      <c r="B23" s="41"/>
      <c r="C23" s="41"/>
      <c r="D23" s="41"/>
      <c r="E23" s="41"/>
      <c r="F23" s="41"/>
      <c r="G23" s="41"/>
      <c r="H23" s="41"/>
      <c r="I23" s="40"/>
      <c r="J23" s="40"/>
      <c r="K23" s="40"/>
      <c r="L23" s="40"/>
      <c r="M23" s="40"/>
      <c r="N23" s="40"/>
      <c r="O23" s="40"/>
      <c r="P23" s="40"/>
      <c r="Q23" s="40"/>
      <c r="R23" s="40"/>
    </row>
    <row r="24" spans="1:22" s="63" customFormat="1" ht="19.5" customHeight="1" x14ac:dyDescent="0.2">
      <c r="A24" s="316" t="s">
        <v>33</v>
      </c>
      <c r="B24" s="317"/>
      <c r="C24" s="318"/>
      <c r="D24" s="319"/>
      <c r="E24" s="319"/>
      <c r="F24" s="319"/>
      <c r="G24" s="316" t="s">
        <v>27</v>
      </c>
      <c r="H24" s="317"/>
      <c r="I24" s="318"/>
      <c r="J24" s="319"/>
      <c r="K24" s="319"/>
      <c r="L24" s="319"/>
      <c r="M24" s="319"/>
      <c r="N24" s="319"/>
      <c r="O24" s="319"/>
      <c r="P24" s="319"/>
      <c r="Q24" s="319"/>
      <c r="R24" s="320"/>
    </row>
    <row r="25" spans="1:22" s="63" customFormat="1" ht="19.5" customHeight="1" x14ac:dyDescent="0.2">
      <c r="A25" s="308" t="s">
        <v>34</v>
      </c>
      <c r="B25" s="309"/>
      <c r="C25" s="235" t="s">
        <v>22</v>
      </c>
      <c r="D25" s="175"/>
      <c r="E25" s="321"/>
      <c r="F25" s="322"/>
      <c r="G25" s="322"/>
      <c r="H25" s="322"/>
      <c r="I25" s="322"/>
      <c r="J25" s="322"/>
      <c r="K25" s="322"/>
      <c r="L25" s="322"/>
      <c r="M25" s="322"/>
      <c r="N25" s="322"/>
      <c r="O25" s="322"/>
      <c r="P25" s="322"/>
      <c r="Q25" s="322"/>
      <c r="R25" s="323"/>
    </row>
    <row r="26" spans="1:22" s="63" customFormat="1" ht="19.5" customHeight="1" x14ac:dyDescent="0.2">
      <c r="A26" s="316" t="s">
        <v>28</v>
      </c>
      <c r="B26" s="317"/>
      <c r="C26" s="318"/>
      <c r="D26" s="319"/>
      <c r="E26" s="319"/>
      <c r="F26" s="319"/>
      <c r="G26" s="324" t="s">
        <v>29</v>
      </c>
      <c r="H26" s="325"/>
      <c r="I26" s="319"/>
      <c r="J26" s="319"/>
      <c r="K26" s="319"/>
      <c r="L26" s="319"/>
      <c r="M26" s="319"/>
      <c r="N26" s="319"/>
      <c r="O26" s="319"/>
      <c r="P26" s="319"/>
      <c r="Q26" s="319"/>
      <c r="R26" s="320"/>
      <c r="S26" s="143"/>
    </row>
    <row r="27" spans="1:22" s="63" customFormat="1" ht="15" customHeight="1" x14ac:dyDescent="0.2"/>
    <row r="28" spans="1:22" s="63" customFormat="1" ht="19.5" customHeight="1" x14ac:dyDescent="0.2">
      <c r="A28" s="43" t="s">
        <v>268</v>
      </c>
    </row>
    <row r="29" spans="1:22" s="63" customFormat="1" ht="19.5" customHeight="1" x14ac:dyDescent="0.2">
      <c r="A29" s="310" t="s">
        <v>293</v>
      </c>
      <c r="B29" s="310"/>
      <c r="C29" s="310"/>
      <c r="D29" s="310"/>
      <c r="E29" s="310"/>
      <c r="F29" s="310"/>
      <c r="G29" s="310"/>
      <c r="H29" s="310"/>
      <c r="I29" s="310"/>
      <c r="J29" s="310"/>
      <c r="K29" s="310"/>
      <c r="L29" s="310"/>
      <c r="M29" s="310"/>
      <c r="N29" s="310"/>
      <c r="O29" s="310"/>
      <c r="P29" s="310"/>
      <c r="Q29" s="310"/>
      <c r="R29" s="310"/>
    </row>
    <row r="30" spans="1:22" s="63" customFormat="1" ht="15.65" customHeight="1" x14ac:dyDescent="0.2">
      <c r="A30" s="316" t="s">
        <v>163</v>
      </c>
      <c r="B30" s="317"/>
      <c r="C30" s="287"/>
      <c r="D30" s="344" t="s">
        <v>161</v>
      </c>
      <c r="E30" s="344"/>
      <c r="F30" s="344"/>
      <c r="G30" s="177"/>
      <c r="H30" s="344" t="s">
        <v>162</v>
      </c>
      <c r="I30" s="344"/>
      <c r="J30" s="344"/>
      <c r="K30" s="344"/>
      <c r="L30" s="344"/>
      <c r="M30" s="344"/>
      <c r="N30" s="344"/>
      <c r="O30" s="344"/>
      <c r="P30" s="344"/>
      <c r="Q30" s="344"/>
      <c r="R30" s="345"/>
    </row>
    <row r="31" spans="1:22" s="63" customFormat="1" ht="15.65" customHeight="1" x14ac:dyDescent="0.2">
      <c r="A31" s="352" t="s">
        <v>164</v>
      </c>
      <c r="B31" s="353"/>
      <c r="C31" s="289" t="s">
        <v>165</v>
      </c>
      <c r="D31" s="242"/>
      <c r="E31" s="242"/>
      <c r="F31" s="242"/>
      <c r="G31" s="242"/>
      <c r="H31" s="242"/>
      <c r="I31" s="242"/>
      <c r="J31" s="242"/>
      <c r="K31" s="242"/>
      <c r="L31" s="242"/>
      <c r="M31" s="242"/>
      <c r="N31" s="242"/>
      <c r="O31" s="242"/>
      <c r="P31" s="242"/>
      <c r="Q31" s="242"/>
      <c r="R31" s="243"/>
    </row>
    <row r="32" spans="1:22" s="63" customFormat="1" ht="14" x14ac:dyDescent="0.2">
      <c r="A32" s="354"/>
      <c r="B32" s="355"/>
      <c r="C32" s="290"/>
      <c r="D32" s="78" t="s">
        <v>287</v>
      </c>
      <c r="E32" s="78"/>
      <c r="F32" s="78"/>
      <c r="G32" s="178"/>
      <c r="H32" s="78" t="s">
        <v>288</v>
      </c>
      <c r="I32" s="78"/>
      <c r="J32" s="78"/>
      <c r="K32" s="78"/>
      <c r="L32" s="78"/>
      <c r="M32" s="78"/>
      <c r="N32" s="78"/>
      <c r="O32" s="78"/>
      <c r="P32" s="78"/>
      <c r="Q32" s="78"/>
      <c r="R32" s="168"/>
    </row>
    <row r="33" spans="1:19" s="63" customFormat="1" ht="15.65" customHeight="1" x14ac:dyDescent="0.2">
      <c r="A33" s="354"/>
      <c r="B33" s="355"/>
      <c r="C33" s="291" t="s">
        <v>166</v>
      </c>
      <c r="D33" s="78"/>
      <c r="E33" s="78"/>
      <c r="F33" s="78"/>
      <c r="G33" s="78"/>
      <c r="H33" s="78"/>
      <c r="I33" s="78"/>
      <c r="J33" s="78"/>
      <c r="K33" s="78"/>
      <c r="L33" s="78"/>
      <c r="M33" s="78"/>
      <c r="N33" s="78"/>
      <c r="O33" s="78"/>
      <c r="P33" s="78"/>
      <c r="Q33" s="78"/>
      <c r="R33" s="168"/>
    </row>
    <row r="34" spans="1:19" s="63" customFormat="1" ht="14" x14ac:dyDescent="0.2">
      <c r="A34" s="354"/>
      <c r="B34" s="355"/>
      <c r="C34" s="290"/>
      <c r="D34" s="78" t="s">
        <v>167</v>
      </c>
      <c r="E34" s="78"/>
      <c r="F34" s="78"/>
      <c r="G34" s="167"/>
      <c r="H34" s="167"/>
      <c r="I34" s="78"/>
      <c r="J34" s="78"/>
      <c r="K34" s="78"/>
      <c r="L34" s="78"/>
      <c r="M34" s="78"/>
      <c r="N34" s="78"/>
      <c r="O34" s="78"/>
      <c r="P34" s="78"/>
      <c r="Q34" s="78"/>
      <c r="R34" s="168"/>
    </row>
    <row r="35" spans="1:19" s="63" customFormat="1" ht="14" x14ac:dyDescent="0.2">
      <c r="A35" s="354"/>
      <c r="B35" s="355"/>
      <c r="C35" s="290"/>
      <c r="D35" s="78" t="s">
        <v>168</v>
      </c>
      <c r="E35" s="78"/>
      <c r="F35" s="78"/>
      <c r="G35" s="167"/>
      <c r="H35" s="167"/>
      <c r="I35" s="78"/>
      <c r="J35" s="78"/>
      <c r="K35" s="78"/>
      <c r="L35" s="78"/>
      <c r="M35" s="78"/>
      <c r="N35" s="78"/>
      <c r="O35" s="78"/>
      <c r="P35" s="78"/>
      <c r="Q35" s="78"/>
      <c r="R35" s="168"/>
    </row>
    <row r="36" spans="1:19" s="63" customFormat="1" ht="15.65" customHeight="1" x14ac:dyDescent="0.2">
      <c r="A36" s="354"/>
      <c r="B36" s="355"/>
      <c r="C36" s="79" t="s">
        <v>169</v>
      </c>
      <c r="D36" s="78"/>
      <c r="E36" s="78"/>
      <c r="F36" s="78"/>
      <c r="G36" s="78"/>
      <c r="H36" s="78"/>
      <c r="I36" s="78"/>
      <c r="J36" s="78"/>
      <c r="K36" s="78"/>
      <c r="L36" s="78"/>
      <c r="M36" s="78"/>
      <c r="N36" s="78"/>
      <c r="O36" s="78"/>
      <c r="P36" s="78"/>
      <c r="Q36" s="78"/>
      <c r="R36" s="168"/>
    </row>
    <row r="37" spans="1:19" s="63" customFormat="1" ht="15.65" customHeight="1" x14ac:dyDescent="0.2">
      <c r="A37" s="354"/>
      <c r="B37" s="355"/>
      <c r="C37" s="292"/>
      <c r="D37" s="178" t="s">
        <v>274</v>
      </c>
      <c r="E37" s="178" t="s">
        <v>271</v>
      </c>
      <c r="F37" s="192" t="s">
        <v>272</v>
      </c>
      <c r="G37" s="178"/>
      <c r="H37" s="178" t="s">
        <v>273</v>
      </c>
      <c r="I37" s="178"/>
      <c r="J37" s="167"/>
      <c r="K37" s="167"/>
      <c r="L37" s="167"/>
      <c r="O37" s="167"/>
      <c r="P37" s="167"/>
      <c r="Q37" s="167"/>
      <c r="R37" s="169"/>
    </row>
    <row r="38" spans="1:19" s="63" customFormat="1" ht="15.65" customHeight="1" x14ac:dyDescent="0.2">
      <c r="A38" s="354"/>
      <c r="B38" s="355"/>
      <c r="C38" s="288" t="s">
        <v>173</v>
      </c>
      <c r="D38" s="167"/>
      <c r="E38" s="167"/>
      <c r="F38" s="167"/>
      <c r="G38" s="167"/>
      <c r="H38" s="167"/>
      <c r="I38" s="167"/>
      <c r="J38" s="167"/>
      <c r="K38" s="167"/>
      <c r="L38" s="167"/>
      <c r="O38" s="167"/>
      <c r="P38" s="167"/>
      <c r="Q38" s="167"/>
      <c r="R38" s="169"/>
    </row>
    <row r="39" spans="1:19" s="63" customFormat="1" ht="15.65" customHeight="1" x14ac:dyDescent="0.2">
      <c r="A39" s="354"/>
      <c r="B39" s="355"/>
      <c r="C39" s="290"/>
      <c r="D39" s="293" t="s">
        <v>172</v>
      </c>
      <c r="E39" s="167"/>
      <c r="F39" s="167"/>
      <c r="G39" s="167"/>
      <c r="H39" s="290"/>
      <c r="I39" s="167" t="s">
        <v>176</v>
      </c>
      <c r="J39" s="167"/>
      <c r="K39" s="167"/>
      <c r="L39" s="167"/>
      <c r="M39" s="362"/>
      <c r="N39" s="362"/>
      <c r="O39" s="167" t="s">
        <v>178</v>
      </c>
      <c r="P39" s="167"/>
      <c r="Q39" s="167"/>
      <c r="R39" s="169"/>
    </row>
    <row r="40" spans="1:19" s="63" customFormat="1" ht="15.65" customHeight="1" x14ac:dyDescent="0.2">
      <c r="A40" s="354"/>
      <c r="B40" s="355"/>
      <c r="C40" s="290"/>
      <c r="D40" s="167" t="s">
        <v>174</v>
      </c>
      <c r="E40" s="167"/>
      <c r="F40" s="167"/>
      <c r="G40" s="167"/>
      <c r="H40" s="290"/>
      <c r="I40" s="167" t="s">
        <v>177</v>
      </c>
      <c r="J40" s="167"/>
      <c r="K40" s="167"/>
      <c r="L40" s="167"/>
      <c r="M40" s="362"/>
      <c r="N40" s="362"/>
      <c r="O40" s="167" t="s">
        <v>180</v>
      </c>
      <c r="Q40" s="167"/>
      <c r="R40" s="169"/>
    </row>
    <row r="41" spans="1:19" s="63" customFormat="1" ht="15.65" customHeight="1" x14ac:dyDescent="0.2">
      <c r="A41" s="354"/>
      <c r="B41" s="355"/>
      <c r="C41" s="290"/>
      <c r="D41" s="167" t="s">
        <v>175</v>
      </c>
      <c r="E41" s="167"/>
      <c r="F41" s="167"/>
      <c r="G41" s="167"/>
      <c r="H41" s="290"/>
      <c r="I41" s="167" t="s">
        <v>179</v>
      </c>
      <c r="J41" s="167"/>
      <c r="K41" s="167"/>
      <c r="L41" s="167"/>
      <c r="M41" s="362"/>
      <c r="N41" s="362"/>
      <c r="O41" s="167" t="s">
        <v>181</v>
      </c>
      <c r="P41" s="167"/>
      <c r="Q41" s="167"/>
      <c r="R41" s="169"/>
    </row>
    <row r="42" spans="1:19" s="63" customFormat="1" ht="15" customHeight="1" x14ac:dyDescent="0.2">
      <c r="A42" s="329" t="s">
        <v>103</v>
      </c>
      <c r="B42" s="329"/>
      <c r="C42" s="356"/>
      <c r="D42" s="357"/>
      <c r="E42" s="357"/>
      <c r="F42" s="357"/>
      <c r="G42" s="357"/>
      <c r="H42" s="357"/>
      <c r="I42" s="357"/>
      <c r="J42" s="357"/>
      <c r="K42" s="357"/>
      <c r="L42" s="357"/>
      <c r="M42" s="357"/>
      <c r="N42" s="357"/>
      <c r="O42" s="357"/>
      <c r="P42" s="357"/>
      <c r="Q42" s="357"/>
      <c r="R42" s="358"/>
    </row>
    <row r="43" spans="1:19" s="63" customFormat="1" ht="16" customHeight="1" x14ac:dyDescent="0.2">
      <c r="A43" s="329"/>
      <c r="B43" s="329"/>
      <c r="C43" s="359" t="s">
        <v>153</v>
      </c>
      <c r="D43" s="360"/>
      <c r="E43" s="360"/>
      <c r="F43" s="360"/>
      <c r="G43" s="360"/>
      <c r="H43" s="360"/>
      <c r="I43" s="360"/>
      <c r="J43" s="360"/>
      <c r="K43" s="360"/>
      <c r="L43" s="360"/>
      <c r="M43" s="360"/>
      <c r="N43" s="360"/>
      <c r="O43" s="360"/>
      <c r="P43" s="360"/>
      <c r="Q43" s="360"/>
      <c r="R43" s="361"/>
    </row>
    <row r="44" spans="1:19" s="63" customFormat="1" ht="20.149999999999999" customHeight="1" x14ac:dyDescent="0.2">
      <c r="A44" s="329" t="s">
        <v>104</v>
      </c>
      <c r="B44" s="329"/>
      <c r="C44" s="346" t="s">
        <v>6</v>
      </c>
      <c r="D44" s="346"/>
      <c r="E44" s="346"/>
      <c r="F44" s="346"/>
      <c r="G44" s="348" t="s">
        <v>7</v>
      </c>
      <c r="H44" s="348"/>
      <c r="I44" s="348"/>
      <c r="J44" s="349" t="s">
        <v>8</v>
      </c>
      <c r="K44" s="349"/>
      <c r="L44" s="349"/>
      <c r="M44" s="349"/>
      <c r="N44" s="349"/>
      <c r="O44" s="349"/>
      <c r="P44" s="349"/>
      <c r="Q44" s="349"/>
      <c r="R44" s="349"/>
    </row>
    <row r="45" spans="1:19" s="63" customFormat="1" ht="16" customHeight="1" x14ac:dyDescent="0.2">
      <c r="A45" s="329"/>
      <c r="B45" s="329"/>
      <c r="C45" s="347"/>
      <c r="D45" s="347"/>
      <c r="E45" s="347"/>
      <c r="F45" s="347"/>
      <c r="G45" s="350"/>
      <c r="H45" s="350"/>
      <c r="I45" s="350"/>
      <c r="J45" s="351"/>
      <c r="K45" s="351"/>
      <c r="L45" s="351"/>
      <c r="M45" s="351"/>
      <c r="N45" s="351"/>
      <c r="O45" s="351"/>
      <c r="P45" s="351"/>
      <c r="Q45" s="351"/>
      <c r="R45" s="351"/>
      <c r="S45" s="144"/>
    </row>
    <row r="46" spans="1:19" s="63" customFormat="1" ht="15" customHeight="1" x14ac:dyDescent="0.2">
      <c r="A46" s="204"/>
      <c r="B46" s="204"/>
      <c r="C46" s="204"/>
      <c r="D46" s="204"/>
      <c r="E46" s="204"/>
      <c r="F46" s="204"/>
      <c r="G46" s="204"/>
      <c r="H46" s="204"/>
      <c r="I46" s="204"/>
      <c r="J46" s="204"/>
      <c r="K46" s="204"/>
      <c r="L46" s="204"/>
      <c r="M46" s="204"/>
      <c r="N46" s="204"/>
      <c r="O46" s="204"/>
      <c r="P46" s="204"/>
      <c r="Q46" s="204"/>
      <c r="R46" s="204"/>
    </row>
    <row r="47" spans="1:19" ht="19.5" customHeight="1" x14ac:dyDescent="0.2">
      <c r="A47" s="43" t="s">
        <v>182</v>
      </c>
      <c r="B47" s="145"/>
    </row>
    <row r="48" spans="1:19" ht="19.5" customHeight="1" x14ac:dyDescent="0.2">
      <c r="A48" s="294"/>
      <c r="B48" s="179" t="s">
        <v>122</v>
      </c>
      <c r="C48" s="275"/>
      <c r="D48" s="275"/>
      <c r="E48" s="275"/>
      <c r="F48" s="275"/>
      <c r="G48" s="275"/>
      <c r="H48" s="275"/>
      <c r="I48" s="275"/>
      <c r="J48" s="275"/>
      <c r="K48" s="275"/>
      <c r="L48" s="275"/>
      <c r="M48" s="275"/>
      <c r="N48" s="275"/>
      <c r="O48" s="275"/>
      <c r="P48" s="275"/>
      <c r="Q48" s="275"/>
      <c r="R48" s="276"/>
    </row>
    <row r="49" spans="1:18" ht="19.5" customHeight="1" x14ac:dyDescent="0.2">
      <c r="A49" s="278"/>
      <c r="B49" s="41" t="s">
        <v>269</v>
      </c>
      <c r="C49" s="79"/>
      <c r="D49" s="79"/>
      <c r="E49" s="79"/>
      <c r="F49" s="79"/>
      <c r="G49" s="79"/>
      <c r="H49" s="79"/>
      <c r="I49" s="79"/>
      <c r="J49" s="79"/>
      <c r="K49" s="79"/>
      <c r="L49" s="79"/>
      <c r="M49" s="79"/>
      <c r="N49" s="79"/>
      <c r="O49" s="79"/>
      <c r="P49" s="79"/>
      <c r="Q49" s="79"/>
      <c r="R49" s="277"/>
    </row>
    <row r="50" spans="1:18" ht="19.5" customHeight="1" x14ac:dyDescent="0.2">
      <c r="A50" s="278"/>
      <c r="B50" s="40" t="s">
        <v>266</v>
      </c>
      <c r="C50" s="79"/>
      <c r="D50" s="79"/>
      <c r="E50" s="79"/>
      <c r="F50" s="79"/>
      <c r="G50" s="79"/>
      <c r="H50" s="79"/>
      <c r="I50" s="79"/>
      <c r="J50" s="79"/>
      <c r="K50" s="79"/>
      <c r="L50" s="79"/>
      <c r="M50" s="79"/>
      <c r="N50" s="79"/>
      <c r="O50" s="79"/>
      <c r="P50" s="79"/>
      <c r="Q50" s="79"/>
      <c r="R50" s="277"/>
    </row>
    <row r="51" spans="1:18" ht="19.5" customHeight="1" x14ac:dyDescent="0.2">
      <c r="A51" s="278"/>
      <c r="B51" s="40" t="s">
        <v>262</v>
      </c>
      <c r="C51" s="79"/>
      <c r="D51" s="79"/>
      <c r="E51" s="79"/>
      <c r="F51" s="79"/>
      <c r="G51" s="79"/>
      <c r="H51" s="79"/>
      <c r="I51" s="79"/>
      <c r="J51" s="79"/>
      <c r="K51" s="79"/>
      <c r="L51" s="79"/>
      <c r="M51" s="79"/>
      <c r="N51" s="79"/>
      <c r="O51" s="79"/>
      <c r="P51" s="79"/>
      <c r="Q51" s="79"/>
      <c r="R51" s="277"/>
    </row>
    <row r="52" spans="1:18" ht="19.5" customHeight="1" x14ac:dyDescent="0.2">
      <c r="A52" s="278"/>
      <c r="B52" s="41" t="s">
        <v>263</v>
      </c>
      <c r="C52" s="79"/>
      <c r="D52" s="79"/>
      <c r="E52" s="79"/>
      <c r="F52" s="79"/>
      <c r="G52" s="79"/>
      <c r="H52" s="79"/>
      <c r="I52" s="79"/>
      <c r="J52" s="79"/>
      <c r="K52" s="79"/>
      <c r="L52" s="79"/>
      <c r="M52" s="79"/>
      <c r="N52" s="79"/>
      <c r="O52" s="79"/>
      <c r="P52" s="79"/>
      <c r="Q52" s="79"/>
      <c r="R52" s="277"/>
    </row>
    <row r="53" spans="1:18" ht="19.5" customHeight="1" x14ac:dyDescent="0.2">
      <c r="A53" s="278"/>
      <c r="B53" s="63" t="s">
        <v>264</v>
      </c>
      <c r="C53" s="79"/>
      <c r="D53" s="79"/>
      <c r="E53" s="79"/>
      <c r="F53" s="79"/>
      <c r="G53" s="79"/>
      <c r="H53" s="79"/>
      <c r="I53" s="79"/>
      <c r="J53" s="79"/>
      <c r="K53" s="79"/>
      <c r="L53" s="79"/>
      <c r="M53" s="79"/>
      <c r="N53" s="79"/>
      <c r="O53" s="79"/>
      <c r="P53" s="79"/>
      <c r="Q53" s="79"/>
      <c r="R53" s="277"/>
    </row>
    <row r="54" spans="1:18" ht="19.5" customHeight="1" x14ac:dyDescent="0.2">
      <c r="A54" s="278"/>
      <c r="B54" s="41" t="s">
        <v>159</v>
      </c>
      <c r="C54" s="79"/>
      <c r="D54" s="79"/>
      <c r="E54" s="79"/>
      <c r="F54" s="79"/>
      <c r="G54" s="79"/>
      <c r="H54" s="79"/>
      <c r="I54" s="79"/>
      <c r="J54" s="79"/>
      <c r="K54" s="79"/>
      <c r="L54" s="79"/>
      <c r="M54" s="79"/>
      <c r="N54" s="79"/>
      <c r="O54" s="79"/>
      <c r="P54" s="79"/>
      <c r="Q54" s="79"/>
      <c r="R54" s="277"/>
    </row>
    <row r="55" spans="1:18" ht="19.5" customHeight="1" x14ac:dyDescent="0.2">
      <c r="A55" s="278"/>
      <c r="B55" s="41" t="s">
        <v>265</v>
      </c>
      <c r="C55" s="79"/>
      <c r="D55" s="79"/>
      <c r="E55" s="79"/>
      <c r="F55" s="79"/>
      <c r="G55" s="79"/>
      <c r="H55" s="79"/>
      <c r="I55" s="79"/>
      <c r="J55" s="79"/>
      <c r="K55" s="79"/>
      <c r="L55" s="79"/>
      <c r="M55" s="79"/>
      <c r="N55" s="79"/>
      <c r="O55" s="79"/>
      <c r="P55" s="79"/>
      <c r="Q55" s="79"/>
      <c r="R55" s="277"/>
    </row>
    <row r="56" spans="1:18" ht="19.5" customHeight="1" x14ac:dyDescent="0.2">
      <c r="A56" s="278"/>
      <c r="B56" s="40" t="s">
        <v>261</v>
      </c>
      <c r="C56" s="79"/>
      <c r="D56" s="79"/>
      <c r="E56" s="79"/>
      <c r="F56" s="79"/>
      <c r="G56" s="79"/>
      <c r="H56" s="79"/>
      <c r="I56" s="79"/>
      <c r="J56" s="79"/>
      <c r="K56" s="79"/>
      <c r="L56" s="79"/>
      <c r="M56" s="79"/>
      <c r="N56" s="79"/>
      <c r="O56" s="79"/>
      <c r="P56" s="79"/>
      <c r="Q56" s="79"/>
      <c r="R56" s="277"/>
    </row>
    <row r="57" spans="1:18" ht="19.5" customHeight="1" x14ac:dyDescent="0.2">
      <c r="A57" s="278"/>
      <c r="B57" s="41" t="s">
        <v>275</v>
      </c>
      <c r="C57" s="79"/>
      <c r="D57" s="79"/>
      <c r="E57" s="79"/>
      <c r="F57" s="79"/>
      <c r="G57" s="79"/>
      <c r="H57" s="79"/>
      <c r="I57" s="79"/>
      <c r="J57" s="79"/>
      <c r="K57" s="79"/>
      <c r="L57" s="79"/>
      <c r="M57" s="79"/>
      <c r="N57" s="79"/>
      <c r="O57" s="79"/>
      <c r="P57" s="79"/>
      <c r="Q57" s="79"/>
      <c r="R57" s="277"/>
    </row>
    <row r="58" spans="1:18" ht="19.5" customHeight="1" x14ac:dyDescent="0.2">
      <c r="A58" s="278"/>
      <c r="B58" s="41" t="s">
        <v>267</v>
      </c>
      <c r="C58" s="79"/>
      <c r="D58" s="79"/>
      <c r="E58" s="79"/>
      <c r="F58" s="79"/>
      <c r="G58" s="79"/>
      <c r="H58" s="79"/>
      <c r="I58" s="79"/>
      <c r="J58" s="79"/>
      <c r="K58" s="79"/>
      <c r="L58" s="79"/>
      <c r="M58" s="79"/>
      <c r="N58" s="79"/>
      <c r="O58" s="79"/>
      <c r="P58" s="79"/>
      <c r="Q58" s="79"/>
      <c r="R58" s="277"/>
    </row>
    <row r="59" spans="1:18" ht="19.5" customHeight="1" x14ac:dyDescent="0.2">
      <c r="A59" s="278"/>
      <c r="B59" s="41" t="s">
        <v>270</v>
      </c>
      <c r="C59" s="79"/>
      <c r="D59" s="79"/>
      <c r="E59" s="79"/>
      <c r="F59" s="79"/>
      <c r="G59" s="79"/>
      <c r="H59" s="79"/>
      <c r="I59" s="79"/>
      <c r="J59" s="79"/>
      <c r="K59" s="79"/>
      <c r="L59" s="79"/>
      <c r="M59" s="79"/>
      <c r="N59" s="79"/>
      <c r="O59" s="79"/>
      <c r="P59" s="79"/>
      <c r="Q59" s="79"/>
      <c r="R59" s="277"/>
    </row>
    <row r="60" spans="1:18" ht="19.5" customHeight="1" x14ac:dyDescent="0.2">
      <c r="A60" s="295"/>
      <c r="B60" s="191" t="s">
        <v>260</v>
      </c>
      <c r="C60" s="246"/>
      <c r="D60" s="246"/>
      <c r="E60" s="246"/>
      <c r="F60" s="246"/>
      <c r="G60" s="246"/>
      <c r="H60" s="246"/>
      <c r="I60" s="246"/>
      <c r="J60" s="246"/>
      <c r="K60" s="246"/>
      <c r="L60" s="246"/>
      <c r="M60" s="246"/>
      <c r="N60" s="246"/>
      <c r="O60" s="246"/>
      <c r="P60" s="246"/>
      <c r="Q60" s="246"/>
      <c r="R60" s="280"/>
    </row>
    <row r="61" spans="1:18" ht="19.5" customHeight="1" x14ac:dyDescent="0.2"/>
  </sheetData>
  <sheetProtection sheet="1" selectLockedCells="1"/>
  <mergeCells count="53">
    <mergeCell ref="M20:P20"/>
    <mergeCell ref="K11:Q11"/>
    <mergeCell ref="I13:J13"/>
    <mergeCell ref="I11:J11"/>
    <mergeCell ref="I9:J9"/>
    <mergeCell ref="K10:Q10"/>
    <mergeCell ref="A30:B30"/>
    <mergeCell ref="D30:F30"/>
    <mergeCell ref="H30:R30"/>
    <mergeCell ref="A44:B45"/>
    <mergeCell ref="C44:F45"/>
    <mergeCell ref="G44:I44"/>
    <mergeCell ref="J44:R44"/>
    <mergeCell ref="G45:I45"/>
    <mergeCell ref="J45:R45"/>
    <mergeCell ref="A31:B41"/>
    <mergeCell ref="A42:B43"/>
    <mergeCell ref="C42:R42"/>
    <mergeCell ref="C43:R43"/>
    <mergeCell ref="M39:N39"/>
    <mergeCell ref="M40:N40"/>
    <mergeCell ref="M41:N41"/>
    <mergeCell ref="A2:R2"/>
    <mergeCell ref="A14:R15"/>
    <mergeCell ref="A16:R16"/>
    <mergeCell ref="A18:A20"/>
    <mergeCell ref="E18:H18"/>
    <mergeCell ref="C19:D19"/>
    <mergeCell ref="I12:J12"/>
    <mergeCell ref="J19:P19"/>
    <mergeCell ref="J18:P18"/>
    <mergeCell ref="L9:N9"/>
    <mergeCell ref="J20:K20"/>
    <mergeCell ref="Q18:R18"/>
    <mergeCell ref="Q19:R19"/>
    <mergeCell ref="Q20:R20"/>
    <mergeCell ref="K13:Q13"/>
    <mergeCell ref="K12:Q12"/>
    <mergeCell ref="A21:B21"/>
    <mergeCell ref="A29:R29"/>
    <mergeCell ref="C21:F21"/>
    <mergeCell ref="G21:H21"/>
    <mergeCell ref="I21:R21"/>
    <mergeCell ref="A24:B24"/>
    <mergeCell ref="C24:F24"/>
    <mergeCell ref="G24:H24"/>
    <mergeCell ref="I24:R24"/>
    <mergeCell ref="A25:B25"/>
    <mergeCell ref="E25:R25"/>
    <mergeCell ref="A26:B26"/>
    <mergeCell ref="C26:F26"/>
    <mergeCell ref="I26:R26"/>
    <mergeCell ref="G26:H26"/>
  </mergeCells>
  <phoneticPr fontId="1"/>
  <dataValidations count="1">
    <dataValidation type="list" allowBlank="1" showInputMessage="1" showErrorMessage="1" sqref="J18:M18">
      <formula1>"木,鉄骨,鉄筋コンクリート,鉄筋鉄骨コンクリート"</formula1>
    </dataValidation>
  </dataValidations>
  <printOptions horizontalCentered="1"/>
  <pageMargins left="0.70866141732283472" right="0.70866141732283472" top="0.55118110236220474" bottom="0.35433070866141736"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locked="0" defaultSize="0" autoFill="0" autoLine="0" autoPict="0">
                <anchor moveWithCells="1">
                  <from>
                    <xdr:col>0</xdr:col>
                    <xdr:colOff>57150</xdr:colOff>
                    <xdr:row>47</xdr:row>
                    <xdr:rowOff>31750</xdr:rowOff>
                  </from>
                  <to>
                    <xdr:col>0</xdr:col>
                    <xdr:colOff>247650</xdr:colOff>
                    <xdr:row>47</xdr:row>
                    <xdr:rowOff>222250</xdr:rowOff>
                  </to>
                </anchor>
              </controlPr>
            </control>
          </mc:Choice>
        </mc:AlternateContent>
        <mc:AlternateContent xmlns:mc="http://schemas.openxmlformats.org/markup-compatibility/2006">
          <mc:Choice Requires="x14">
            <control shapeId="8194" r:id="rId5" name="Check Box 2">
              <controlPr locked="0" defaultSize="0" autoFill="0" autoLine="0" autoPict="0">
                <anchor moveWithCells="1">
                  <from>
                    <xdr:col>0</xdr:col>
                    <xdr:colOff>57150</xdr:colOff>
                    <xdr:row>48</xdr:row>
                    <xdr:rowOff>31750</xdr:rowOff>
                  </from>
                  <to>
                    <xdr:col>0</xdr:col>
                    <xdr:colOff>247650</xdr:colOff>
                    <xdr:row>48</xdr:row>
                    <xdr:rowOff>222250</xdr:rowOff>
                  </to>
                </anchor>
              </controlPr>
            </control>
          </mc:Choice>
        </mc:AlternateContent>
        <mc:AlternateContent xmlns:mc="http://schemas.openxmlformats.org/markup-compatibility/2006">
          <mc:Choice Requires="x14">
            <control shapeId="8199" r:id="rId6" name="Check Box 7">
              <controlPr locked="0" defaultSize="0" autoFill="0" autoLine="0" autoPict="0">
                <anchor moveWithCells="1">
                  <from>
                    <xdr:col>2</xdr:col>
                    <xdr:colOff>190500</xdr:colOff>
                    <xdr:row>31</xdr:row>
                    <xdr:rowOff>0</xdr:rowOff>
                  </from>
                  <to>
                    <xdr:col>3</xdr:col>
                    <xdr:colOff>12700</xdr:colOff>
                    <xdr:row>32</xdr:row>
                    <xdr:rowOff>12700</xdr:rowOff>
                  </to>
                </anchor>
              </controlPr>
            </control>
          </mc:Choice>
        </mc:AlternateContent>
        <mc:AlternateContent xmlns:mc="http://schemas.openxmlformats.org/markup-compatibility/2006">
          <mc:Choice Requires="x14">
            <control shapeId="8200" r:id="rId7" name="Check Box 8">
              <controlPr locked="0" defaultSize="0" autoFill="0" autoLine="0" autoPict="0">
                <anchor moveWithCells="1">
                  <from>
                    <xdr:col>6</xdr:col>
                    <xdr:colOff>203200</xdr:colOff>
                    <xdr:row>30</xdr:row>
                    <xdr:rowOff>184150</xdr:rowOff>
                  </from>
                  <to>
                    <xdr:col>6</xdr:col>
                    <xdr:colOff>393700</xdr:colOff>
                    <xdr:row>31</xdr:row>
                    <xdr:rowOff>171450</xdr:rowOff>
                  </to>
                </anchor>
              </controlPr>
            </control>
          </mc:Choice>
        </mc:AlternateContent>
        <mc:AlternateContent xmlns:mc="http://schemas.openxmlformats.org/markup-compatibility/2006">
          <mc:Choice Requires="x14">
            <control shapeId="8201" r:id="rId8" name="Check Box 9">
              <controlPr locked="0" defaultSize="0" autoFill="0" autoLine="0" autoPict="0">
                <anchor moveWithCells="1">
                  <from>
                    <xdr:col>2</xdr:col>
                    <xdr:colOff>184150</xdr:colOff>
                    <xdr:row>32</xdr:row>
                    <xdr:rowOff>190500</xdr:rowOff>
                  </from>
                  <to>
                    <xdr:col>3</xdr:col>
                    <xdr:colOff>0</xdr:colOff>
                    <xdr:row>34</xdr:row>
                    <xdr:rowOff>0</xdr:rowOff>
                  </to>
                </anchor>
              </controlPr>
            </control>
          </mc:Choice>
        </mc:AlternateContent>
        <mc:AlternateContent xmlns:mc="http://schemas.openxmlformats.org/markup-compatibility/2006">
          <mc:Choice Requires="x14">
            <control shapeId="8202" r:id="rId9" name="Check Box 10">
              <controlPr locked="0" defaultSize="0" autoFill="0" autoLine="0" autoPict="0">
                <anchor moveWithCells="1">
                  <from>
                    <xdr:col>2</xdr:col>
                    <xdr:colOff>184150</xdr:colOff>
                    <xdr:row>34</xdr:row>
                    <xdr:rowOff>0</xdr:rowOff>
                  </from>
                  <to>
                    <xdr:col>3</xdr:col>
                    <xdr:colOff>0</xdr:colOff>
                    <xdr:row>35</xdr:row>
                    <xdr:rowOff>12700</xdr:rowOff>
                  </to>
                </anchor>
              </controlPr>
            </control>
          </mc:Choice>
        </mc:AlternateContent>
        <mc:AlternateContent xmlns:mc="http://schemas.openxmlformats.org/markup-compatibility/2006">
          <mc:Choice Requires="x14">
            <control shapeId="8203" r:id="rId10" name="Check Box 11">
              <controlPr locked="0" defaultSize="0" autoFill="0" autoLine="0" autoPict="0">
                <anchor moveWithCells="1">
                  <from>
                    <xdr:col>2</xdr:col>
                    <xdr:colOff>203200</xdr:colOff>
                    <xdr:row>36</xdr:row>
                    <xdr:rowOff>12700</xdr:rowOff>
                  </from>
                  <to>
                    <xdr:col>3</xdr:col>
                    <xdr:colOff>19050</xdr:colOff>
                    <xdr:row>37</xdr:row>
                    <xdr:rowOff>0</xdr:rowOff>
                  </to>
                </anchor>
              </controlPr>
            </control>
          </mc:Choice>
        </mc:AlternateContent>
        <mc:AlternateContent xmlns:mc="http://schemas.openxmlformats.org/markup-compatibility/2006">
          <mc:Choice Requires="x14">
            <control shapeId="8204" r:id="rId11" name="Check Box 12">
              <controlPr locked="0" defaultSize="0" autoFill="0" autoLine="0" autoPict="0">
                <anchor moveWithCells="1">
                  <from>
                    <xdr:col>3</xdr:col>
                    <xdr:colOff>584200</xdr:colOff>
                    <xdr:row>36</xdr:row>
                    <xdr:rowOff>19050</xdr:rowOff>
                  </from>
                  <to>
                    <xdr:col>4</xdr:col>
                    <xdr:colOff>31750</xdr:colOff>
                    <xdr:row>37</xdr:row>
                    <xdr:rowOff>12700</xdr:rowOff>
                  </to>
                </anchor>
              </controlPr>
            </control>
          </mc:Choice>
        </mc:AlternateContent>
        <mc:AlternateContent xmlns:mc="http://schemas.openxmlformats.org/markup-compatibility/2006">
          <mc:Choice Requires="x14">
            <control shapeId="8205" r:id="rId12" name="Check Box 13">
              <controlPr locked="0" defaultSize="0" autoFill="0" autoLine="0" autoPict="0">
                <anchor moveWithCells="1">
                  <from>
                    <xdr:col>6</xdr:col>
                    <xdr:colOff>342900</xdr:colOff>
                    <xdr:row>36</xdr:row>
                    <xdr:rowOff>31750</xdr:rowOff>
                  </from>
                  <to>
                    <xdr:col>7</xdr:col>
                    <xdr:colOff>31750</xdr:colOff>
                    <xdr:row>37</xdr:row>
                    <xdr:rowOff>19050</xdr:rowOff>
                  </to>
                </anchor>
              </controlPr>
            </control>
          </mc:Choice>
        </mc:AlternateContent>
        <mc:AlternateContent xmlns:mc="http://schemas.openxmlformats.org/markup-compatibility/2006">
          <mc:Choice Requires="x14">
            <control shapeId="8206" r:id="rId13" name="Check Box 14">
              <controlPr locked="0" defaultSize="0" autoFill="0" autoLine="0" autoPict="0">
                <anchor moveWithCells="1">
                  <from>
                    <xdr:col>2</xdr:col>
                    <xdr:colOff>203200</xdr:colOff>
                    <xdr:row>29</xdr:row>
                    <xdr:rowOff>12700</xdr:rowOff>
                  </from>
                  <to>
                    <xdr:col>3</xdr:col>
                    <xdr:colOff>19050</xdr:colOff>
                    <xdr:row>30</xdr:row>
                    <xdr:rowOff>0</xdr:rowOff>
                  </to>
                </anchor>
              </controlPr>
            </control>
          </mc:Choice>
        </mc:AlternateContent>
        <mc:AlternateContent xmlns:mc="http://schemas.openxmlformats.org/markup-compatibility/2006">
          <mc:Choice Requires="x14">
            <control shapeId="8207" r:id="rId14" name="Check Box 15">
              <controlPr locked="0" defaultSize="0" autoFill="0" autoLine="0" autoPict="0">
                <anchor moveWithCells="1">
                  <from>
                    <xdr:col>6</xdr:col>
                    <xdr:colOff>203200</xdr:colOff>
                    <xdr:row>29</xdr:row>
                    <xdr:rowOff>0</xdr:rowOff>
                  </from>
                  <to>
                    <xdr:col>6</xdr:col>
                    <xdr:colOff>393700</xdr:colOff>
                    <xdr:row>30</xdr:row>
                    <xdr:rowOff>0</xdr:rowOff>
                  </to>
                </anchor>
              </controlPr>
            </control>
          </mc:Choice>
        </mc:AlternateContent>
        <mc:AlternateContent xmlns:mc="http://schemas.openxmlformats.org/markup-compatibility/2006">
          <mc:Choice Requires="x14">
            <control shapeId="8208" r:id="rId15" name="Check Box 16">
              <controlPr locked="0" defaultSize="0" autoFill="0" autoLine="0" autoPict="0">
                <anchor moveWithCells="1">
                  <from>
                    <xdr:col>5</xdr:col>
                    <xdr:colOff>152400</xdr:colOff>
                    <xdr:row>36</xdr:row>
                    <xdr:rowOff>19050</xdr:rowOff>
                  </from>
                  <to>
                    <xdr:col>5</xdr:col>
                    <xdr:colOff>342900</xdr:colOff>
                    <xdr:row>37</xdr:row>
                    <xdr:rowOff>19050</xdr:rowOff>
                  </to>
                </anchor>
              </controlPr>
            </control>
          </mc:Choice>
        </mc:AlternateContent>
        <mc:AlternateContent xmlns:mc="http://schemas.openxmlformats.org/markup-compatibility/2006">
          <mc:Choice Requires="x14">
            <control shapeId="8209" r:id="rId16" name="Check Box 17">
              <controlPr locked="0" defaultSize="0" autoFill="0" autoLine="0" autoPict="0">
                <anchor moveWithCells="1">
                  <from>
                    <xdr:col>2</xdr:col>
                    <xdr:colOff>184150</xdr:colOff>
                    <xdr:row>37</xdr:row>
                    <xdr:rowOff>190500</xdr:rowOff>
                  </from>
                  <to>
                    <xdr:col>3</xdr:col>
                    <xdr:colOff>0</xdr:colOff>
                    <xdr:row>38</xdr:row>
                    <xdr:rowOff>184150</xdr:rowOff>
                  </to>
                </anchor>
              </controlPr>
            </control>
          </mc:Choice>
        </mc:AlternateContent>
        <mc:AlternateContent xmlns:mc="http://schemas.openxmlformats.org/markup-compatibility/2006">
          <mc:Choice Requires="x14">
            <control shapeId="8210" r:id="rId17" name="Check Box 18">
              <controlPr locked="0" defaultSize="0" autoFill="0" autoLine="0" autoPict="0">
                <anchor moveWithCells="1">
                  <from>
                    <xdr:col>2</xdr:col>
                    <xdr:colOff>184150</xdr:colOff>
                    <xdr:row>39</xdr:row>
                    <xdr:rowOff>190500</xdr:rowOff>
                  </from>
                  <to>
                    <xdr:col>3</xdr:col>
                    <xdr:colOff>0</xdr:colOff>
                    <xdr:row>40</xdr:row>
                    <xdr:rowOff>184150</xdr:rowOff>
                  </to>
                </anchor>
              </controlPr>
            </control>
          </mc:Choice>
        </mc:AlternateContent>
        <mc:AlternateContent xmlns:mc="http://schemas.openxmlformats.org/markup-compatibility/2006">
          <mc:Choice Requires="x14">
            <control shapeId="8214" r:id="rId18" name="Check Box 22">
              <controlPr locked="0" defaultSize="0" autoFill="0" autoLine="0" autoPict="0">
                <anchor moveWithCells="1">
                  <from>
                    <xdr:col>2</xdr:col>
                    <xdr:colOff>184150</xdr:colOff>
                    <xdr:row>38</xdr:row>
                    <xdr:rowOff>190500</xdr:rowOff>
                  </from>
                  <to>
                    <xdr:col>2</xdr:col>
                    <xdr:colOff>374650</xdr:colOff>
                    <xdr:row>39</xdr:row>
                    <xdr:rowOff>184150</xdr:rowOff>
                  </to>
                </anchor>
              </controlPr>
            </control>
          </mc:Choice>
        </mc:AlternateContent>
        <mc:AlternateContent xmlns:mc="http://schemas.openxmlformats.org/markup-compatibility/2006">
          <mc:Choice Requires="x14">
            <control shapeId="8215" r:id="rId19" name="Check Box 23">
              <controlPr locked="0" defaultSize="0" autoFill="0" autoLine="0" autoPict="0">
                <anchor moveWithCells="1">
                  <from>
                    <xdr:col>2</xdr:col>
                    <xdr:colOff>184150</xdr:colOff>
                    <xdr:row>39</xdr:row>
                    <xdr:rowOff>190500</xdr:rowOff>
                  </from>
                  <to>
                    <xdr:col>2</xdr:col>
                    <xdr:colOff>374650</xdr:colOff>
                    <xdr:row>40</xdr:row>
                    <xdr:rowOff>184150</xdr:rowOff>
                  </to>
                </anchor>
              </controlPr>
            </control>
          </mc:Choice>
        </mc:AlternateContent>
        <mc:AlternateContent xmlns:mc="http://schemas.openxmlformats.org/markup-compatibility/2006">
          <mc:Choice Requires="x14">
            <control shapeId="8216" r:id="rId20" name="Check Box 24">
              <controlPr locked="0" defaultSize="0" autoFill="0" autoLine="0" autoPict="0">
                <anchor moveWithCells="1">
                  <from>
                    <xdr:col>12</xdr:col>
                    <xdr:colOff>184150</xdr:colOff>
                    <xdr:row>38</xdr:row>
                    <xdr:rowOff>12700</xdr:rowOff>
                  </from>
                  <to>
                    <xdr:col>13</xdr:col>
                    <xdr:colOff>95250</xdr:colOff>
                    <xdr:row>38</xdr:row>
                    <xdr:rowOff>190500</xdr:rowOff>
                  </to>
                </anchor>
              </controlPr>
            </control>
          </mc:Choice>
        </mc:AlternateContent>
        <mc:AlternateContent xmlns:mc="http://schemas.openxmlformats.org/markup-compatibility/2006">
          <mc:Choice Requires="x14">
            <control shapeId="8218" r:id="rId21" name="Check Box 26">
              <controlPr locked="0" defaultSize="0" autoFill="0" autoLine="0" autoPict="0">
                <anchor moveWithCells="1">
                  <from>
                    <xdr:col>2</xdr:col>
                    <xdr:colOff>95250</xdr:colOff>
                    <xdr:row>19</xdr:row>
                    <xdr:rowOff>50800</xdr:rowOff>
                  </from>
                  <to>
                    <xdr:col>2</xdr:col>
                    <xdr:colOff>336550</xdr:colOff>
                    <xdr:row>19</xdr:row>
                    <xdr:rowOff>228600</xdr:rowOff>
                  </to>
                </anchor>
              </controlPr>
            </control>
          </mc:Choice>
        </mc:AlternateContent>
        <mc:AlternateContent xmlns:mc="http://schemas.openxmlformats.org/markup-compatibility/2006">
          <mc:Choice Requires="x14">
            <control shapeId="8219" r:id="rId22" name="Check Box 27">
              <controlPr locked="0" defaultSize="0" autoFill="0" autoLine="0" autoPict="0">
                <anchor moveWithCells="1">
                  <from>
                    <xdr:col>4</xdr:col>
                    <xdr:colOff>127000</xdr:colOff>
                    <xdr:row>19</xdr:row>
                    <xdr:rowOff>50800</xdr:rowOff>
                  </from>
                  <to>
                    <xdr:col>4</xdr:col>
                    <xdr:colOff>361950</xdr:colOff>
                    <xdr:row>19</xdr:row>
                    <xdr:rowOff>228600</xdr:rowOff>
                  </to>
                </anchor>
              </controlPr>
            </control>
          </mc:Choice>
        </mc:AlternateContent>
        <mc:AlternateContent xmlns:mc="http://schemas.openxmlformats.org/markup-compatibility/2006">
          <mc:Choice Requires="x14">
            <control shapeId="8220" r:id="rId23" name="Check Box 28">
              <controlPr locked="0" defaultSize="0" autoFill="0" autoLine="0" autoPict="0">
                <anchor moveWithCells="1">
                  <from>
                    <xdr:col>6</xdr:col>
                    <xdr:colOff>184150</xdr:colOff>
                    <xdr:row>19</xdr:row>
                    <xdr:rowOff>50800</xdr:rowOff>
                  </from>
                  <to>
                    <xdr:col>6</xdr:col>
                    <xdr:colOff>419100</xdr:colOff>
                    <xdr:row>19</xdr:row>
                    <xdr:rowOff>228600</xdr:rowOff>
                  </to>
                </anchor>
              </controlPr>
            </control>
          </mc:Choice>
        </mc:AlternateContent>
        <mc:AlternateContent xmlns:mc="http://schemas.openxmlformats.org/markup-compatibility/2006">
          <mc:Choice Requires="x14">
            <control shapeId="8221" r:id="rId24" name="Check Box 29">
              <controlPr locked="0" defaultSize="0" autoFill="0" autoLine="0" autoPict="0">
                <anchor moveWithCells="1">
                  <from>
                    <xdr:col>8</xdr:col>
                    <xdr:colOff>190500</xdr:colOff>
                    <xdr:row>19</xdr:row>
                    <xdr:rowOff>50800</xdr:rowOff>
                  </from>
                  <to>
                    <xdr:col>8</xdr:col>
                    <xdr:colOff>431800</xdr:colOff>
                    <xdr:row>19</xdr:row>
                    <xdr:rowOff>228600</xdr:rowOff>
                  </to>
                </anchor>
              </controlPr>
            </control>
          </mc:Choice>
        </mc:AlternateContent>
        <mc:AlternateContent xmlns:mc="http://schemas.openxmlformats.org/markup-compatibility/2006">
          <mc:Choice Requires="x14">
            <control shapeId="8198" r:id="rId25" name="Check Box 6">
              <controlPr locked="0" defaultSize="0" autoFill="0" autoLine="0" autoPict="0">
                <anchor moveWithCells="1">
                  <from>
                    <xdr:col>0</xdr:col>
                    <xdr:colOff>57150</xdr:colOff>
                    <xdr:row>49</xdr:row>
                    <xdr:rowOff>31750</xdr:rowOff>
                  </from>
                  <to>
                    <xdr:col>0</xdr:col>
                    <xdr:colOff>247650</xdr:colOff>
                    <xdr:row>49</xdr:row>
                    <xdr:rowOff>222250</xdr:rowOff>
                  </to>
                </anchor>
              </controlPr>
            </control>
          </mc:Choice>
        </mc:AlternateContent>
        <mc:AlternateContent xmlns:mc="http://schemas.openxmlformats.org/markup-compatibility/2006">
          <mc:Choice Requires="x14">
            <control shapeId="8223" r:id="rId26" name="Check Box 31">
              <controlPr locked="0" defaultSize="0" autoFill="0" autoLine="0" autoPict="0">
                <anchor moveWithCells="1">
                  <from>
                    <xdr:col>0</xdr:col>
                    <xdr:colOff>57150</xdr:colOff>
                    <xdr:row>59</xdr:row>
                    <xdr:rowOff>31750</xdr:rowOff>
                  </from>
                  <to>
                    <xdr:col>0</xdr:col>
                    <xdr:colOff>247650</xdr:colOff>
                    <xdr:row>59</xdr:row>
                    <xdr:rowOff>222250</xdr:rowOff>
                  </to>
                </anchor>
              </controlPr>
            </control>
          </mc:Choice>
        </mc:AlternateContent>
        <mc:AlternateContent xmlns:mc="http://schemas.openxmlformats.org/markup-compatibility/2006">
          <mc:Choice Requires="x14">
            <control shapeId="8225" r:id="rId27" name="Check Box 33">
              <controlPr locked="0" defaultSize="0" autoFill="0" autoLine="0" autoPict="0">
                <anchor moveWithCells="1">
                  <from>
                    <xdr:col>0</xdr:col>
                    <xdr:colOff>57150</xdr:colOff>
                    <xdr:row>56</xdr:row>
                    <xdr:rowOff>31750</xdr:rowOff>
                  </from>
                  <to>
                    <xdr:col>0</xdr:col>
                    <xdr:colOff>247650</xdr:colOff>
                    <xdr:row>56</xdr:row>
                    <xdr:rowOff>222250</xdr:rowOff>
                  </to>
                </anchor>
              </controlPr>
            </control>
          </mc:Choice>
        </mc:AlternateContent>
        <mc:AlternateContent xmlns:mc="http://schemas.openxmlformats.org/markup-compatibility/2006">
          <mc:Choice Requires="x14">
            <control shapeId="8226" r:id="rId28" name="Check Box 34">
              <controlPr locked="0" defaultSize="0" autoFill="0" autoLine="0" autoPict="0">
                <anchor moveWithCells="1">
                  <from>
                    <xdr:col>0</xdr:col>
                    <xdr:colOff>57150</xdr:colOff>
                    <xdr:row>55</xdr:row>
                    <xdr:rowOff>31750</xdr:rowOff>
                  </from>
                  <to>
                    <xdr:col>0</xdr:col>
                    <xdr:colOff>247650</xdr:colOff>
                    <xdr:row>55</xdr:row>
                    <xdr:rowOff>222250</xdr:rowOff>
                  </to>
                </anchor>
              </controlPr>
            </control>
          </mc:Choice>
        </mc:AlternateContent>
        <mc:AlternateContent xmlns:mc="http://schemas.openxmlformats.org/markup-compatibility/2006">
          <mc:Choice Requires="x14">
            <control shapeId="8228" r:id="rId29" name="Check Box 36">
              <controlPr locked="0" defaultSize="0" autoFill="0" autoLine="0" autoPict="0">
                <anchor moveWithCells="1">
                  <from>
                    <xdr:col>0</xdr:col>
                    <xdr:colOff>57150</xdr:colOff>
                    <xdr:row>52</xdr:row>
                    <xdr:rowOff>31750</xdr:rowOff>
                  </from>
                  <to>
                    <xdr:col>0</xdr:col>
                    <xdr:colOff>247650</xdr:colOff>
                    <xdr:row>52</xdr:row>
                    <xdr:rowOff>222250</xdr:rowOff>
                  </to>
                </anchor>
              </controlPr>
            </control>
          </mc:Choice>
        </mc:AlternateContent>
        <mc:AlternateContent xmlns:mc="http://schemas.openxmlformats.org/markup-compatibility/2006">
          <mc:Choice Requires="x14">
            <control shapeId="8229" r:id="rId30" name="Check Box 37">
              <controlPr locked="0" defaultSize="0" autoFill="0" autoLine="0" autoPict="0">
                <anchor moveWithCells="1">
                  <from>
                    <xdr:col>0</xdr:col>
                    <xdr:colOff>57150</xdr:colOff>
                    <xdr:row>51</xdr:row>
                    <xdr:rowOff>31750</xdr:rowOff>
                  </from>
                  <to>
                    <xdr:col>0</xdr:col>
                    <xdr:colOff>247650</xdr:colOff>
                    <xdr:row>51</xdr:row>
                    <xdr:rowOff>222250</xdr:rowOff>
                  </to>
                </anchor>
              </controlPr>
            </control>
          </mc:Choice>
        </mc:AlternateContent>
        <mc:AlternateContent xmlns:mc="http://schemas.openxmlformats.org/markup-compatibility/2006">
          <mc:Choice Requires="x14">
            <control shapeId="8230" r:id="rId31" name="Check Box 38">
              <controlPr locked="0" defaultSize="0" autoFill="0" autoLine="0" autoPict="0">
                <anchor moveWithCells="1">
                  <from>
                    <xdr:col>0</xdr:col>
                    <xdr:colOff>57150</xdr:colOff>
                    <xdr:row>50</xdr:row>
                    <xdr:rowOff>31750</xdr:rowOff>
                  </from>
                  <to>
                    <xdr:col>0</xdr:col>
                    <xdr:colOff>247650</xdr:colOff>
                    <xdr:row>50</xdr:row>
                    <xdr:rowOff>222250</xdr:rowOff>
                  </to>
                </anchor>
              </controlPr>
            </control>
          </mc:Choice>
        </mc:AlternateContent>
        <mc:AlternateContent xmlns:mc="http://schemas.openxmlformats.org/markup-compatibility/2006">
          <mc:Choice Requires="x14">
            <control shapeId="8224" r:id="rId32" name="Check Box 32">
              <controlPr locked="0" defaultSize="0" autoFill="0" autoLine="0" autoPict="0">
                <anchor moveWithCells="1">
                  <from>
                    <xdr:col>0</xdr:col>
                    <xdr:colOff>57150</xdr:colOff>
                    <xdr:row>58</xdr:row>
                    <xdr:rowOff>31750</xdr:rowOff>
                  </from>
                  <to>
                    <xdr:col>0</xdr:col>
                    <xdr:colOff>247650</xdr:colOff>
                    <xdr:row>58</xdr:row>
                    <xdr:rowOff>222250</xdr:rowOff>
                  </to>
                </anchor>
              </controlPr>
            </control>
          </mc:Choice>
        </mc:AlternateContent>
        <mc:AlternateContent xmlns:mc="http://schemas.openxmlformats.org/markup-compatibility/2006">
          <mc:Choice Requires="x14">
            <control shapeId="8231" r:id="rId33" name="Check Box 39">
              <controlPr locked="0" defaultSize="0" autoFill="0" autoLine="0" autoPict="0">
                <anchor moveWithCells="1">
                  <from>
                    <xdr:col>0</xdr:col>
                    <xdr:colOff>57150</xdr:colOff>
                    <xdr:row>57</xdr:row>
                    <xdr:rowOff>31750</xdr:rowOff>
                  </from>
                  <to>
                    <xdr:col>0</xdr:col>
                    <xdr:colOff>247650</xdr:colOff>
                    <xdr:row>57</xdr:row>
                    <xdr:rowOff>222250</xdr:rowOff>
                  </to>
                </anchor>
              </controlPr>
            </control>
          </mc:Choice>
        </mc:AlternateContent>
        <mc:AlternateContent xmlns:mc="http://schemas.openxmlformats.org/markup-compatibility/2006">
          <mc:Choice Requires="x14">
            <control shapeId="8232" r:id="rId34" name="Check Box 40">
              <controlPr locked="0" defaultSize="0" autoFill="0" autoLine="0" autoPict="0">
                <anchor moveWithCells="1">
                  <from>
                    <xdr:col>12</xdr:col>
                    <xdr:colOff>184150</xdr:colOff>
                    <xdr:row>39</xdr:row>
                    <xdr:rowOff>12700</xdr:rowOff>
                  </from>
                  <to>
                    <xdr:col>13</xdr:col>
                    <xdr:colOff>95250</xdr:colOff>
                    <xdr:row>39</xdr:row>
                    <xdr:rowOff>190500</xdr:rowOff>
                  </to>
                </anchor>
              </controlPr>
            </control>
          </mc:Choice>
        </mc:AlternateContent>
        <mc:AlternateContent xmlns:mc="http://schemas.openxmlformats.org/markup-compatibility/2006">
          <mc:Choice Requires="x14">
            <control shapeId="8233" r:id="rId35" name="Check Box 41">
              <controlPr locked="0" defaultSize="0" autoFill="0" autoLine="0" autoPict="0">
                <anchor moveWithCells="1">
                  <from>
                    <xdr:col>12</xdr:col>
                    <xdr:colOff>184150</xdr:colOff>
                    <xdr:row>40</xdr:row>
                    <xdr:rowOff>12700</xdr:rowOff>
                  </from>
                  <to>
                    <xdr:col>13</xdr:col>
                    <xdr:colOff>95250</xdr:colOff>
                    <xdr:row>40</xdr:row>
                    <xdr:rowOff>190500</xdr:rowOff>
                  </to>
                </anchor>
              </controlPr>
            </control>
          </mc:Choice>
        </mc:AlternateContent>
        <mc:AlternateContent xmlns:mc="http://schemas.openxmlformats.org/markup-compatibility/2006">
          <mc:Choice Requires="x14">
            <control shapeId="8227" r:id="rId36" name="Check Box 35">
              <controlPr locked="0" defaultSize="0" autoFill="0" autoLine="0" autoPict="0">
                <anchor moveWithCells="1">
                  <from>
                    <xdr:col>0</xdr:col>
                    <xdr:colOff>57150</xdr:colOff>
                    <xdr:row>54</xdr:row>
                    <xdr:rowOff>31750</xdr:rowOff>
                  </from>
                  <to>
                    <xdr:col>0</xdr:col>
                    <xdr:colOff>247650</xdr:colOff>
                    <xdr:row>54</xdr:row>
                    <xdr:rowOff>222250</xdr:rowOff>
                  </to>
                </anchor>
              </controlPr>
            </control>
          </mc:Choice>
        </mc:AlternateContent>
        <mc:AlternateContent xmlns:mc="http://schemas.openxmlformats.org/markup-compatibility/2006">
          <mc:Choice Requires="x14">
            <control shapeId="8234" r:id="rId37" name="Check Box 42">
              <controlPr locked="0" defaultSize="0" autoFill="0" autoLine="0" autoPict="0">
                <anchor moveWithCells="1">
                  <from>
                    <xdr:col>0</xdr:col>
                    <xdr:colOff>57150</xdr:colOff>
                    <xdr:row>53</xdr:row>
                    <xdr:rowOff>31750</xdr:rowOff>
                  </from>
                  <to>
                    <xdr:col>0</xdr:col>
                    <xdr:colOff>247650</xdr:colOff>
                    <xdr:row>53</xdr:row>
                    <xdr:rowOff>222250</xdr:rowOff>
                  </to>
                </anchor>
              </controlPr>
            </control>
          </mc:Choice>
        </mc:AlternateContent>
        <mc:AlternateContent xmlns:mc="http://schemas.openxmlformats.org/markup-compatibility/2006">
          <mc:Choice Requires="x14">
            <control shapeId="8212" r:id="rId38" name="Check Box 20">
              <controlPr locked="0" defaultSize="0" autoFill="0" autoLine="0" autoPict="0">
                <anchor moveWithCells="1">
                  <from>
                    <xdr:col>7</xdr:col>
                    <xdr:colOff>184150</xdr:colOff>
                    <xdr:row>39</xdr:row>
                    <xdr:rowOff>190500</xdr:rowOff>
                  </from>
                  <to>
                    <xdr:col>7</xdr:col>
                    <xdr:colOff>419100</xdr:colOff>
                    <xdr:row>40</xdr:row>
                    <xdr:rowOff>184150</xdr:rowOff>
                  </to>
                </anchor>
              </controlPr>
            </control>
          </mc:Choice>
        </mc:AlternateContent>
        <mc:AlternateContent xmlns:mc="http://schemas.openxmlformats.org/markup-compatibility/2006">
          <mc:Choice Requires="x14">
            <control shapeId="8238" r:id="rId39" name="Check Box 46">
              <controlPr locked="0" defaultSize="0" autoFill="0" autoLine="0" autoPict="0">
                <anchor moveWithCells="1">
                  <from>
                    <xdr:col>7</xdr:col>
                    <xdr:colOff>184150</xdr:colOff>
                    <xdr:row>38</xdr:row>
                    <xdr:rowOff>190500</xdr:rowOff>
                  </from>
                  <to>
                    <xdr:col>7</xdr:col>
                    <xdr:colOff>419100</xdr:colOff>
                    <xdr:row>39</xdr:row>
                    <xdr:rowOff>184150</xdr:rowOff>
                  </to>
                </anchor>
              </controlPr>
            </control>
          </mc:Choice>
        </mc:AlternateContent>
        <mc:AlternateContent xmlns:mc="http://schemas.openxmlformats.org/markup-compatibility/2006">
          <mc:Choice Requires="x14">
            <control shapeId="8239" r:id="rId40" name="Check Box 47">
              <controlPr locked="0" defaultSize="0" autoFill="0" autoLine="0" autoPict="0">
                <anchor moveWithCells="1">
                  <from>
                    <xdr:col>7</xdr:col>
                    <xdr:colOff>184150</xdr:colOff>
                    <xdr:row>37</xdr:row>
                    <xdr:rowOff>190500</xdr:rowOff>
                  </from>
                  <to>
                    <xdr:col>7</xdr:col>
                    <xdr:colOff>419100</xdr:colOff>
                    <xdr:row>38</xdr:row>
                    <xdr:rowOff>184150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3:F8"/>
  <sheetViews>
    <sheetView workbookViewId="0">
      <selection activeCell="B3" sqref="B3"/>
    </sheetView>
  </sheetViews>
  <sheetFormatPr defaultColWidth="9" defaultRowHeight="13" x14ac:dyDescent="0.2"/>
  <cols>
    <col min="1" max="1" width="9" style="301"/>
    <col min="2" max="2" width="13.08984375" style="301" bestFit="1" customWidth="1"/>
    <col min="3" max="16384" width="9" style="301"/>
  </cols>
  <sheetData>
    <row r="3" spans="2:6" ht="14" x14ac:dyDescent="0.2">
      <c r="B3" s="299" t="s">
        <v>246</v>
      </c>
      <c r="C3" s="300">
        <v>2</v>
      </c>
      <c r="D3" s="300">
        <v>3</v>
      </c>
      <c r="E3" s="300">
        <v>4</v>
      </c>
      <c r="F3" s="300">
        <v>5</v>
      </c>
    </row>
    <row r="4" spans="2:6" ht="14" x14ac:dyDescent="0.2">
      <c r="B4" s="302"/>
      <c r="C4" s="250" t="b">
        <v>0</v>
      </c>
      <c r="D4" s="250" t="b">
        <v>0</v>
      </c>
      <c r="E4" s="250" t="b">
        <v>0</v>
      </c>
      <c r="F4" s="250" t="b">
        <v>0</v>
      </c>
    </row>
    <row r="7" spans="2:6" ht="14" x14ac:dyDescent="0.2">
      <c r="B7" s="303" t="s">
        <v>247</v>
      </c>
      <c r="C7" s="303" t="s">
        <v>248</v>
      </c>
      <c r="D7" s="303" t="s">
        <v>249</v>
      </c>
    </row>
    <row r="8" spans="2:6" ht="14" x14ac:dyDescent="0.2">
      <c r="B8" s="302"/>
      <c r="C8" s="250" t="b">
        <v>0</v>
      </c>
      <c r="D8" s="250" t="b">
        <v>0</v>
      </c>
    </row>
  </sheetData>
  <sheetProtection sheet="1" objects="1" scenarios="1" selectLockedCells="1" selectUnlockedCell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28"/>
  <sheetViews>
    <sheetView showZeros="0" view="pageBreakPreview" zoomScale="115" zoomScaleNormal="100" zoomScaleSheetLayoutView="115" workbookViewId="0">
      <selection activeCell="A9" sqref="A9"/>
    </sheetView>
  </sheetViews>
  <sheetFormatPr defaultColWidth="9" defaultRowHeight="14" x14ac:dyDescent="0.2"/>
  <cols>
    <col min="1" max="1" width="6.08984375" style="6" customWidth="1"/>
    <col min="2" max="2" width="10" style="6" customWidth="1"/>
    <col min="3" max="3" width="3.453125" style="6" customWidth="1"/>
    <col min="4" max="4" width="11.26953125" style="6" bestFit="1" customWidth="1"/>
    <col min="5" max="5" width="3.453125" style="6" bestFit="1" customWidth="1"/>
    <col min="6" max="6" width="12.6328125" style="6" bestFit="1" customWidth="1"/>
    <col min="7" max="7" width="4.90625" style="6" customWidth="1"/>
    <col min="8" max="8" width="7.453125" style="6" bestFit="1" customWidth="1"/>
    <col min="9" max="9" width="25.90625" style="6" customWidth="1"/>
    <col min="10" max="10" width="20.453125" style="6" customWidth="1"/>
    <col min="11" max="11" width="10.90625" style="6" customWidth="1"/>
    <col min="53" max="54" width="5.6328125" style="6" customWidth="1"/>
    <col min="55" max="16384" width="9" style="6"/>
  </cols>
  <sheetData>
    <row r="1" spans="1:11" ht="15.75" customHeight="1" x14ac:dyDescent="0.2">
      <c r="A1" s="6" t="s">
        <v>83</v>
      </c>
    </row>
    <row r="2" spans="1:11" s="58" customFormat="1" ht="15.75" customHeight="1" x14ac:dyDescent="0.2">
      <c r="A2" s="57" t="s">
        <v>230</v>
      </c>
      <c r="B2" s="1"/>
      <c r="C2" s="10"/>
      <c r="D2" s="170"/>
      <c r="E2" s="59"/>
      <c r="F2" s="10"/>
      <c r="G2" s="11"/>
      <c r="H2" s="59"/>
      <c r="I2" s="11"/>
      <c r="J2" s="11"/>
      <c r="K2" s="11"/>
    </row>
    <row r="3" spans="1:11" s="58" customFormat="1" ht="25.5" customHeight="1" x14ac:dyDescent="0.2">
      <c r="A3" s="146" t="s">
        <v>170</v>
      </c>
      <c r="B3" s="1"/>
      <c r="C3" s="10"/>
      <c r="D3" s="3"/>
      <c r="E3" s="59"/>
      <c r="F3" s="10"/>
      <c r="G3" s="11"/>
      <c r="H3" s="59"/>
      <c r="I3" s="11"/>
      <c r="J3" s="11"/>
      <c r="K3" s="11"/>
    </row>
    <row r="4" spans="1:11" s="58" customFormat="1" ht="15.75" customHeight="1" x14ac:dyDescent="0.2">
      <c r="A4" s="40" t="s">
        <v>282</v>
      </c>
      <c r="B4" s="1"/>
      <c r="C4" s="10"/>
      <c r="D4" s="11"/>
      <c r="E4" s="61"/>
      <c r="F4" s="10"/>
      <c r="G4" s="11"/>
      <c r="H4" s="59"/>
      <c r="I4" s="11"/>
      <c r="J4" s="11"/>
      <c r="K4" s="11"/>
    </row>
    <row r="5" spans="1:11" s="66" customFormat="1" ht="15.75" customHeight="1" x14ac:dyDescent="0.2">
      <c r="A5" s="63"/>
      <c r="B5" s="1"/>
      <c r="C5" s="10"/>
      <c r="D5" s="11"/>
      <c r="E5" s="61"/>
      <c r="F5" s="10"/>
      <c r="G5" s="11"/>
      <c r="H5" s="59"/>
      <c r="I5" s="11"/>
      <c r="J5" s="11"/>
      <c r="K5" s="11"/>
    </row>
    <row r="6" spans="1:11" s="66" customFormat="1" ht="15.75" customHeight="1" x14ac:dyDescent="0.2">
      <c r="A6" s="40" t="s">
        <v>102</v>
      </c>
      <c r="B6" s="1"/>
      <c r="C6" s="10"/>
      <c r="D6" s="11"/>
      <c r="E6" s="61"/>
      <c r="F6" s="10"/>
      <c r="G6" s="11"/>
      <c r="H6" s="59"/>
      <c r="I6" s="11"/>
      <c r="J6" s="11"/>
      <c r="K6" s="11"/>
    </row>
    <row r="7" spans="1:11" s="66" customFormat="1" ht="15.75" customHeight="1" x14ac:dyDescent="0.2">
      <c r="A7" s="274"/>
      <c r="B7" s="275"/>
      <c r="C7" s="275"/>
      <c r="D7" s="275"/>
      <c r="E7" s="275"/>
      <c r="F7" s="275"/>
      <c r="G7" s="275"/>
      <c r="H7" s="275"/>
      <c r="I7" s="275"/>
      <c r="J7" s="275"/>
      <c r="K7" s="276"/>
    </row>
    <row r="8" spans="1:11" s="66" customFormat="1" ht="15.75" customHeight="1" x14ac:dyDescent="0.2">
      <c r="A8" s="42" t="s">
        <v>91</v>
      </c>
      <c r="B8" s="79"/>
      <c r="C8" s="79"/>
      <c r="D8" s="79"/>
      <c r="E8" s="79"/>
      <c r="F8" s="79"/>
      <c r="G8" s="79"/>
      <c r="H8" s="79"/>
      <c r="I8" s="79"/>
      <c r="J8" s="79"/>
      <c r="K8" s="277"/>
    </row>
    <row r="9" spans="1:11" s="66" customFormat="1" ht="15.75" customHeight="1" x14ac:dyDescent="0.2">
      <c r="A9" s="278"/>
      <c r="B9" s="41" t="s">
        <v>283</v>
      </c>
      <c r="C9" s="78"/>
      <c r="D9" s="79"/>
      <c r="E9" s="79"/>
      <c r="F9" s="79"/>
      <c r="G9" s="79"/>
      <c r="H9" s="79"/>
      <c r="I9" s="79"/>
      <c r="J9" s="79"/>
      <c r="K9" s="277"/>
    </row>
    <row r="10" spans="1:11" s="66" customFormat="1" ht="15.75" customHeight="1" x14ac:dyDescent="0.2">
      <c r="A10" s="278"/>
      <c r="B10" s="41" t="s">
        <v>92</v>
      </c>
      <c r="C10" s="78"/>
      <c r="D10" s="79"/>
      <c r="E10" s="79"/>
      <c r="F10" s="79"/>
      <c r="G10" s="79"/>
      <c r="H10" s="79"/>
      <c r="I10" s="79"/>
      <c r="J10" s="79"/>
      <c r="K10" s="277"/>
    </row>
    <row r="11" spans="1:11" s="66" customFormat="1" ht="15.75" customHeight="1" x14ac:dyDescent="0.2">
      <c r="A11" s="278"/>
      <c r="B11" s="41" t="s">
        <v>94</v>
      </c>
      <c r="C11" s="78"/>
      <c r="D11" s="79"/>
      <c r="E11" s="79"/>
      <c r="F11" s="79"/>
      <c r="G11" s="79"/>
      <c r="H11" s="79"/>
      <c r="I11" s="79"/>
      <c r="J11" s="79"/>
      <c r="K11" s="277"/>
    </row>
    <row r="12" spans="1:11" s="66" customFormat="1" ht="15.75" customHeight="1" x14ac:dyDescent="0.2">
      <c r="A12" s="42" t="s">
        <v>93</v>
      </c>
      <c r="B12" s="41"/>
      <c r="C12" s="78"/>
      <c r="D12" s="79"/>
      <c r="E12" s="79"/>
      <c r="F12" s="79"/>
      <c r="G12" s="79"/>
      <c r="H12" s="79"/>
      <c r="I12" s="79"/>
      <c r="J12" s="79"/>
      <c r="K12" s="277"/>
    </row>
    <row r="13" spans="1:11" s="66" customFormat="1" ht="15.75" customHeight="1" x14ac:dyDescent="0.2">
      <c r="A13" s="278"/>
      <c r="B13" s="41" t="s">
        <v>284</v>
      </c>
      <c r="C13" s="78"/>
      <c r="D13" s="79"/>
      <c r="E13" s="79"/>
      <c r="F13" s="79"/>
      <c r="G13" s="79"/>
      <c r="H13" s="79"/>
      <c r="I13" s="79"/>
      <c r="J13" s="79"/>
      <c r="K13" s="277"/>
    </row>
    <row r="14" spans="1:11" s="66" customFormat="1" ht="15.75" customHeight="1" x14ac:dyDescent="0.2">
      <c r="A14" s="278"/>
      <c r="B14" s="41" t="s">
        <v>95</v>
      </c>
      <c r="C14" s="78"/>
      <c r="D14" s="79"/>
      <c r="E14" s="79"/>
      <c r="F14" s="79"/>
      <c r="G14" s="79"/>
      <c r="H14" s="79"/>
      <c r="I14" s="79"/>
      <c r="J14" s="79"/>
      <c r="K14" s="277"/>
    </row>
    <row r="15" spans="1:11" s="66" customFormat="1" ht="15.75" customHeight="1" x14ac:dyDescent="0.2">
      <c r="A15" s="42" t="s">
        <v>115</v>
      </c>
      <c r="B15" s="41"/>
      <c r="C15" s="78"/>
      <c r="D15" s="79"/>
      <c r="E15" s="79"/>
      <c r="F15" s="79"/>
      <c r="G15" s="79"/>
      <c r="H15" s="79"/>
      <c r="I15" s="79"/>
      <c r="J15" s="79"/>
      <c r="K15" s="277"/>
    </row>
    <row r="16" spans="1:11" s="58" customFormat="1" ht="15.75" customHeight="1" x14ac:dyDescent="0.2">
      <c r="A16" s="278"/>
      <c r="B16" s="41" t="s">
        <v>285</v>
      </c>
      <c r="C16" s="78"/>
      <c r="D16" s="79"/>
      <c r="E16" s="79"/>
      <c r="F16" s="79"/>
      <c r="G16" s="79"/>
      <c r="H16" s="79"/>
      <c r="I16" s="79"/>
      <c r="J16" s="79"/>
      <c r="K16" s="277"/>
    </row>
    <row r="17" spans="1:11" s="66" customFormat="1" ht="15.75" customHeight="1" x14ac:dyDescent="0.2">
      <c r="A17" s="278"/>
      <c r="B17" s="41" t="s">
        <v>108</v>
      </c>
      <c r="C17" s="78"/>
      <c r="D17" s="79"/>
      <c r="E17" s="79"/>
      <c r="F17" s="79"/>
      <c r="G17" s="79"/>
      <c r="H17" s="79"/>
      <c r="I17" s="79"/>
      <c r="J17" s="79"/>
      <c r="K17" s="277"/>
    </row>
    <row r="18" spans="1:11" s="66" customFormat="1" ht="15.75" customHeight="1" x14ac:dyDescent="0.2">
      <c r="A18" s="42" t="s">
        <v>96</v>
      </c>
      <c r="B18" s="41"/>
      <c r="C18" s="78"/>
      <c r="D18" s="79"/>
      <c r="E18" s="79"/>
      <c r="F18" s="79"/>
      <c r="G18" s="79"/>
      <c r="H18" s="79"/>
      <c r="I18" s="79"/>
      <c r="J18" s="79"/>
      <c r="K18" s="277"/>
    </row>
    <row r="19" spans="1:11" ht="15.75" customHeight="1" x14ac:dyDescent="0.2">
      <c r="A19" s="278"/>
      <c r="B19" s="41" t="s">
        <v>109</v>
      </c>
      <c r="C19" s="78"/>
      <c r="D19" s="79"/>
      <c r="E19" s="79"/>
      <c r="F19" s="79"/>
      <c r="G19" s="79"/>
      <c r="H19" s="79"/>
      <c r="I19" s="79"/>
      <c r="J19" s="79"/>
      <c r="K19" s="277"/>
    </row>
    <row r="20" spans="1:11" ht="15.75" customHeight="1" x14ac:dyDescent="0.2">
      <c r="A20" s="279"/>
      <c r="B20" s="246"/>
      <c r="C20" s="246"/>
      <c r="D20" s="246"/>
      <c r="E20" s="246"/>
      <c r="F20" s="246"/>
      <c r="G20" s="246"/>
      <c r="H20" s="246"/>
      <c r="I20" s="246"/>
      <c r="J20" s="246"/>
      <c r="K20" s="280"/>
    </row>
    <row r="21" spans="1:11" ht="15.75" customHeight="1" x14ac:dyDescent="0.2">
      <c r="B21" s="204"/>
      <c r="C21" s="204"/>
      <c r="D21" s="204"/>
      <c r="E21" s="204"/>
      <c r="F21" s="204"/>
      <c r="G21" s="204"/>
      <c r="H21" s="204"/>
      <c r="I21" s="204"/>
      <c r="J21" s="204"/>
      <c r="K21" s="204"/>
    </row>
    <row r="22" spans="1:11" ht="15.75" customHeight="1" x14ac:dyDescent="0.2">
      <c r="A22" s="5" t="s">
        <v>231</v>
      </c>
      <c r="B22" s="204"/>
      <c r="C22" s="204"/>
      <c r="D22" s="204"/>
      <c r="E22" s="204"/>
      <c r="F22" s="204"/>
      <c r="G22" s="204"/>
      <c r="H22" s="204"/>
      <c r="I22" s="204"/>
      <c r="J22" s="204"/>
      <c r="K22" s="204"/>
    </row>
    <row r="23" spans="1:11" ht="15.75" customHeight="1" x14ac:dyDescent="0.2">
      <c r="A23" s="40" t="s">
        <v>86</v>
      </c>
      <c r="F23" s="15"/>
      <c r="G23" s="16"/>
      <c r="H23" s="16"/>
      <c r="I23" s="16"/>
      <c r="J23" s="16"/>
      <c r="K23" s="16"/>
    </row>
    <row r="24" spans="1:11" ht="15.75" customHeight="1" x14ac:dyDescent="0.2">
      <c r="A24" s="238" t="s">
        <v>35</v>
      </c>
      <c r="B24" s="238" t="s">
        <v>116</v>
      </c>
      <c r="C24" s="392" t="s">
        <v>45</v>
      </c>
      <c r="D24" s="392"/>
      <c r="E24" s="392"/>
      <c r="F24" s="392"/>
      <c r="G24" s="393" t="s">
        <v>46</v>
      </c>
      <c r="H24" s="393"/>
      <c r="I24" s="417" t="s">
        <v>36</v>
      </c>
      <c r="J24" s="418"/>
      <c r="K24" s="238" t="s">
        <v>97</v>
      </c>
    </row>
    <row r="25" spans="1:11" ht="15.75" customHeight="1" x14ac:dyDescent="0.2">
      <c r="A25" s="433"/>
      <c r="B25" s="432" t="s">
        <v>37</v>
      </c>
      <c r="C25" s="421" t="s">
        <v>47</v>
      </c>
      <c r="D25" s="432" t="s">
        <v>42</v>
      </c>
      <c r="E25" s="180" t="s">
        <v>47</v>
      </c>
      <c r="F25" s="21" t="s">
        <v>38</v>
      </c>
      <c r="G25" s="180"/>
      <c r="H25" s="238" t="s">
        <v>44</v>
      </c>
      <c r="I25" s="408"/>
      <c r="J25" s="409"/>
      <c r="K25" s="183"/>
    </row>
    <row r="26" spans="1:11" ht="15.75" customHeight="1" x14ac:dyDescent="0.2">
      <c r="A26" s="376"/>
      <c r="B26" s="371"/>
      <c r="C26" s="368"/>
      <c r="D26" s="371"/>
      <c r="E26" s="180" t="s">
        <v>47</v>
      </c>
      <c r="F26" s="21" t="s">
        <v>110</v>
      </c>
      <c r="G26" s="180"/>
      <c r="H26" s="238" t="s">
        <v>44</v>
      </c>
      <c r="I26" s="248"/>
      <c r="J26" s="249"/>
      <c r="K26" s="183"/>
    </row>
    <row r="27" spans="1:11" ht="15.75" customHeight="1" x14ac:dyDescent="0.2">
      <c r="A27" s="376"/>
      <c r="B27" s="371"/>
      <c r="C27" s="369"/>
      <c r="D27" s="372"/>
      <c r="E27" s="180" t="s">
        <v>47</v>
      </c>
      <c r="F27" s="21" t="s">
        <v>277</v>
      </c>
      <c r="G27" s="180">
        <v>0</v>
      </c>
      <c r="H27" s="238" t="s">
        <v>44</v>
      </c>
      <c r="I27" s="408"/>
      <c r="J27" s="409"/>
      <c r="K27" s="184"/>
    </row>
    <row r="28" spans="1:11" ht="15.75" customHeight="1" x14ac:dyDescent="0.2">
      <c r="A28" s="376"/>
      <c r="B28" s="371"/>
      <c r="C28" s="180" t="s">
        <v>48</v>
      </c>
      <c r="D28" s="238" t="s">
        <v>40</v>
      </c>
      <c r="E28" s="382"/>
      <c r="F28" s="383"/>
      <c r="G28" s="414"/>
      <c r="H28" s="415"/>
      <c r="I28" s="408"/>
      <c r="J28" s="409"/>
      <c r="K28" s="184"/>
    </row>
    <row r="29" spans="1:11" ht="15.75" customHeight="1" x14ac:dyDescent="0.2">
      <c r="A29" s="376"/>
      <c r="B29" s="371"/>
      <c r="C29" s="180" t="s">
        <v>47</v>
      </c>
      <c r="D29" s="238" t="s">
        <v>101</v>
      </c>
      <c r="E29" s="384"/>
      <c r="F29" s="385"/>
      <c r="G29" s="180"/>
      <c r="H29" s="238" t="s">
        <v>39</v>
      </c>
      <c r="I29" s="408"/>
      <c r="J29" s="409"/>
      <c r="K29" s="184"/>
    </row>
    <row r="30" spans="1:11" ht="15.75" customHeight="1" x14ac:dyDescent="0.2">
      <c r="A30" s="376"/>
      <c r="B30" s="371"/>
      <c r="C30" s="180" t="s">
        <v>47</v>
      </c>
      <c r="D30" s="238" t="s">
        <v>41</v>
      </c>
      <c r="E30" s="386"/>
      <c r="F30" s="387"/>
      <c r="G30" s="414"/>
      <c r="H30" s="415"/>
      <c r="I30" s="408"/>
      <c r="J30" s="409"/>
      <c r="K30" s="184"/>
    </row>
    <row r="31" spans="1:11" ht="15.75" customHeight="1" thickBot="1" x14ac:dyDescent="0.25">
      <c r="A31" s="380"/>
      <c r="B31" s="416"/>
      <c r="C31" s="181" t="s">
        <v>245</v>
      </c>
      <c r="D31" s="27" t="s">
        <v>43</v>
      </c>
      <c r="E31" s="373"/>
      <c r="F31" s="374"/>
      <c r="G31" s="181">
        <v>0</v>
      </c>
      <c r="H31" s="27" t="s">
        <v>44</v>
      </c>
      <c r="I31" s="419"/>
      <c r="J31" s="420"/>
      <c r="K31" s="185"/>
    </row>
    <row r="32" spans="1:11" ht="15.75" customHeight="1" thickTop="1" x14ac:dyDescent="0.2">
      <c r="A32" s="375"/>
      <c r="B32" s="370" t="s">
        <v>50</v>
      </c>
      <c r="C32" s="367" t="s">
        <v>48</v>
      </c>
      <c r="D32" s="370" t="s">
        <v>42</v>
      </c>
      <c r="E32" s="236" t="s">
        <v>47</v>
      </c>
      <c r="F32" s="35" t="s">
        <v>38</v>
      </c>
      <c r="G32" s="236"/>
      <c r="H32" s="237" t="s">
        <v>44</v>
      </c>
      <c r="I32" s="408"/>
      <c r="J32" s="409"/>
      <c r="K32" s="183"/>
    </row>
    <row r="33" spans="1:11" ht="15.75" customHeight="1" x14ac:dyDescent="0.2">
      <c r="A33" s="376"/>
      <c r="B33" s="371"/>
      <c r="C33" s="368"/>
      <c r="D33" s="371"/>
      <c r="E33" s="180" t="s">
        <v>47</v>
      </c>
      <c r="F33" s="21" t="s">
        <v>110</v>
      </c>
      <c r="G33" s="236"/>
      <c r="H33" s="238" t="s">
        <v>44</v>
      </c>
      <c r="I33" s="248"/>
      <c r="J33" s="249"/>
      <c r="K33" s="183"/>
    </row>
    <row r="34" spans="1:11" ht="15.75" customHeight="1" x14ac:dyDescent="0.2">
      <c r="A34" s="376"/>
      <c r="B34" s="371"/>
      <c r="C34" s="369"/>
      <c r="D34" s="372"/>
      <c r="E34" s="180" t="s">
        <v>47</v>
      </c>
      <c r="F34" s="21" t="s">
        <v>277</v>
      </c>
      <c r="G34" s="180">
        <v>0</v>
      </c>
      <c r="H34" s="238" t="s">
        <v>44</v>
      </c>
      <c r="I34" s="408"/>
      <c r="J34" s="409"/>
      <c r="K34" s="184"/>
    </row>
    <row r="35" spans="1:11" ht="15.75" customHeight="1" x14ac:dyDescent="0.2">
      <c r="A35" s="376"/>
      <c r="B35" s="371"/>
      <c r="C35" s="180" t="s">
        <v>48</v>
      </c>
      <c r="D35" s="238" t="s">
        <v>40</v>
      </c>
      <c r="E35" s="382"/>
      <c r="F35" s="383"/>
      <c r="G35" s="414"/>
      <c r="H35" s="415"/>
      <c r="I35" s="408"/>
      <c r="J35" s="409"/>
      <c r="K35" s="184"/>
    </row>
    <row r="36" spans="1:11" ht="15.75" customHeight="1" x14ac:dyDescent="0.2">
      <c r="A36" s="376"/>
      <c r="B36" s="371"/>
      <c r="C36" s="180" t="s">
        <v>47</v>
      </c>
      <c r="D36" s="238" t="s">
        <v>101</v>
      </c>
      <c r="E36" s="384"/>
      <c r="F36" s="385"/>
      <c r="G36" s="180">
        <v>0</v>
      </c>
      <c r="H36" s="238" t="s">
        <v>39</v>
      </c>
      <c r="I36" s="408"/>
      <c r="J36" s="409"/>
      <c r="K36" s="184"/>
    </row>
    <row r="37" spans="1:11" ht="15.75" customHeight="1" x14ac:dyDescent="0.2">
      <c r="A37" s="376"/>
      <c r="B37" s="371"/>
      <c r="C37" s="180" t="s">
        <v>47</v>
      </c>
      <c r="D37" s="238" t="s">
        <v>41</v>
      </c>
      <c r="E37" s="386"/>
      <c r="F37" s="387"/>
      <c r="G37" s="414"/>
      <c r="H37" s="415"/>
      <c r="I37" s="408"/>
      <c r="J37" s="409"/>
      <c r="K37" s="184"/>
    </row>
    <row r="38" spans="1:11" ht="15.75" customHeight="1" thickBot="1" x14ac:dyDescent="0.25">
      <c r="A38" s="380"/>
      <c r="B38" s="416"/>
      <c r="C38" s="240" t="s">
        <v>47</v>
      </c>
      <c r="D38" s="241" t="s">
        <v>43</v>
      </c>
      <c r="E38" s="424"/>
      <c r="F38" s="425"/>
      <c r="G38" s="240">
        <v>0</v>
      </c>
      <c r="H38" s="241" t="s">
        <v>44</v>
      </c>
      <c r="I38" s="419"/>
      <c r="J38" s="420"/>
      <c r="K38" s="185"/>
    </row>
    <row r="39" spans="1:11" ht="15.75" customHeight="1" thickTop="1" x14ac:dyDescent="0.2">
      <c r="A39" s="375"/>
      <c r="B39" s="370" t="s">
        <v>51</v>
      </c>
      <c r="C39" s="367" t="s">
        <v>48</v>
      </c>
      <c r="D39" s="370" t="s">
        <v>42</v>
      </c>
      <c r="E39" s="182" t="s">
        <v>47</v>
      </c>
      <c r="F39" s="24" t="s">
        <v>38</v>
      </c>
      <c r="G39" s="182"/>
      <c r="H39" s="25" t="s">
        <v>44</v>
      </c>
      <c r="I39" s="408"/>
      <c r="J39" s="409"/>
      <c r="K39" s="183"/>
    </row>
    <row r="40" spans="1:11" ht="15.75" customHeight="1" x14ac:dyDescent="0.2">
      <c r="A40" s="376"/>
      <c r="B40" s="371"/>
      <c r="C40" s="368"/>
      <c r="D40" s="371"/>
      <c r="E40" s="180" t="s">
        <v>47</v>
      </c>
      <c r="F40" s="21" t="s">
        <v>110</v>
      </c>
      <c r="G40" s="236"/>
      <c r="H40" s="238" t="s">
        <v>44</v>
      </c>
      <c r="I40" s="248"/>
      <c r="J40" s="249"/>
      <c r="K40" s="183"/>
    </row>
    <row r="41" spans="1:11" ht="15.75" customHeight="1" x14ac:dyDescent="0.2">
      <c r="A41" s="376"/>
      <c r="B41" s="371"/>
      <c r="C41" s="369"/>
      <c r="D41" s="372"/>
      <c r="E41" s="180" t="s">
        <v>47</v>
      </c>
      <c r="F41" s="21" t="s">
        <v>277</v>
      </c>
      <c r="G41" s="180">
        <v>0</v>
      </c>
      <c r="H41" s="238" t="s">
        <v>44</v>
      </c>
      <c r="I41" s="408"/>
      <c r="J41" s="409"/>
      <c r="K41" s="184"/>
    </row>
    <row r="42" spans="1:11" ht="15.75" customHeight="1" x14ac:dyDescent="0.2">
      <c r="A42" s="376"/>
      <c r="B42" s="371"/>
      <c r="C42" s="180" t="s">
        <v>48</v>
      </c>
      <c r="D42" s="238" t="s">
        <v>40</v>
      </c>
      <c r="E42" s="382"/>
      <c r="F42" s="383"/>
      <c r="G42" s="414"/>
      <c r="H42" s="415"/>
      <c r="I42" s="408"/>
      <c r="J42" s="409"/>
      <c r="K42" s="184"/>
    </row>
    <row r="43" spans="1:11" ht="15.75" customHeight="1" x14ac:dyDescent="0.2">
      <c r="A43" s="376"/>
      <c r="B43" s="371"/>
      <c r="C43" s="180" t="s">
        <v>47</v>
      </c>
      <c r="D43" s="238" t="s">
        <v>101</v>
      </c>
      <c r="E43" s="384"/>
      <c r="F43" s="385"/>
      <c r="G43" s="180">
        <v>0</v>
      </c>
      <c r="H43" s="238" t="s">
        <v>39</v>
      </c>
      <c r="I43" s="408"/>
      <c r="J43" s="409"/>
      <c r="K43" s="184"/>
    </row>
    <row r="44" spans="1:11" ht="15.75" customHeight="1" x14ac:dyDescent="0.2">
      <c r="A44" s="376"/>
      <c r="B44" s="371"/>
      <c r="C44" s="180" t="s">
        <v>47</v>
      </c>
      <c r="D44" s="238" t="s">
        <v>41</v>
      </c>
      <c r="E44" s="386"/>
      <c r="F44" s="387"/>
      <c r="G44" s="414"/>
      <c r="H44" s="415"/>
      <c r="I44" s="408"/>
      <c r="J44" s="409"/>
      <c r="K44" s="184"/>
    </row>
    <row r="45" spans="1:11" ht="15.75" customHeight="1" thickBot="1" x14ac:dyDescent="0.25">
      <c r="A45" s="380"/>
      <c r="B45" s="416"/>
      <c r="C45" s="181" t="s">
        <v>47</v>
      </c>
      <c r="D45" s="27" t="s">
        <v>43</v>
      </c>
      <c r="E45" s="373"/>
      <c r="F45" s="374"/>
      <c r="G45" s="181">
        <v>0</v>
      </c>
      <c r="H45" s="27" t="s">
        <v>44</v>
      </c>
      <c r="I45" s="419"/>
      <c r="J45" s="420"/>
      <c r="K45" s="185"/>
    </row>
    <row r="46" spans="1:11" ht="15.75" customHeight="1" thickTop="1" x14ac:dyDescent="0.2">
      <c r="A46" s="375"/>
      <c r="B46" s="370" t="s">
        <v>52</v>
      </c>
      <c r="C46" s="367" t="s">
        <v>47</v>
      </c>
      <c r="D46" s="370" t="s">
        <v>42</v>
      </c>
      <c r="E46" s="182" t="s">
        <v>47</v>
      </c>
      <c r="F46" s="24" t="s">
        <v>38</v>
      </c>
      <c r="G46" s="182">
        <v>0</v>
      </c>
      <c r="H46" s="25" t="s">
        <v>44</v>
      </c>
      <c r="I46" s="408"/>
      <c r="J46" s="409"/>
      <c r="K46" s="183"/>
    </row>
    <row r="47" spans="1:11" ht="15.75" customHeight="1" x14ac:dyDescent="0.2">
      <c r="A47" s="376"/>
      <c r="B47" s="371"/>
      <c r="C47" s="368"/>
      <c r="D47" s="371"/>
      <c r="E47" s="180" t="s">
        <v>47</v>
      </c>
      <c r="F47" s="21" t="s">
        <v>110</v>
      </c>
      <c r="G47" s="180">
        <v>0</v>
      </c>
      <c r="H47" s="238" t="s">
        <v>44</v>
      </c>
      <c r="I47" s="408"/>
      <c r="J47" s="409"/>
      <c r="K47" s="184"/>
    </row>
    <row r="48" spans="1:11" ht="15.75" customHeight="1" x14ac:dyDescent="0.2">
      <c r="A48" s="376"/>
      <c r="B48" s="371"/>
      <c r="C48" s="369"/>
      <c r="D48" s="372"/>
      <c r="E48" s="180" t="s">
        <v>47</v>
      </c>
      <c r="F48" s="21" t="s">
        <v>100</v>
      </c>
      <c r="G48" s="180"/>
      <c r="H48" s="238" t="s">
        <v>44</v>
      </c>
      <c r="I48" s="408"/>
      <c r="J48" s="409"/>
      <c r="K48" s="183"/>
    </row>
    <row r="49" spans="1:54" ht="15.75" customHeight="1" x14ac:dyDescent="0.2">
      <c r="A49" s="376"/>
      <c r="B49" s="371"/>
      <c r="C49" s="180" t="s">
        <v>47</v>
      </c>
      <c r="D49" s="238" t="s">
        <v>40</v>
      </c>
      <c r="E49" s="382"/>
      <c r="F49" s="383"/>
      <c r="G49" s="414"/>
      <c r="H49" s="415"/>
      <c r="I49" s="408"/>
      <c r="J49" s="409"/>
      <c r="K49" s="184"/>
    </row>
    <row r="50" spans="1:54" ht="15.75" customHeight="1" x14ac:dyDescent="0.2">
      <c r="A50" s="376"/>
      <c r="B50" s="371"/>
      <c r="C50" s="180" t="s">
        <v>47</v>
      </c>
      <c r="D50" s="238" t="s">
        <v>101</v>
      </c>
      <c r="E50" s="384"/>
      <c r="F50" s="385"/>
      <c r="G50" s="180">
        <v>0</v>
      </c>
      <c r="H50" s="238" t="s">
        <v>39</v>
      </c>
      <c r="I50" s="408"/>
      <c r="J50" s="409"/>
      <c r="K50" s="184"/>
    </row>
    <row r="51" spans="1:54" ht="15.75" customHeight="1" x14ac:dyDescent="0.2">
      <c r="A51" s="376"/>
      <c r="B51" s="371"/>
      <c r="C51" s="180" t="s">
        <v>47</v>
      </c>
      <c r="D51" s="238" t="s">
        <v>41</v>
      </c>
      <c r="E51" s="386"/>
      <c r="F51" s="387"/>
      <c r="G51" s="414"/>
      <c r="H51" s="415"/>
      <c r="I51" s="410"/>
      <c r="J51" s="411"/>
      <c r="K51" s="186"/>
    </row>
    <row r="52" spans="1:54" ht="15.75" customHeight="1" thickBot="1" x14ac:dyDescent="0.25">
      <c r="A52" s="380"/>
      <c r="B52" s="416"/>
      <c r="C52" s="181" t="s">
        <v>47</v>
      </c>
      <c r="D52" s="27" t="s">
        <v>43</v>
      </c>
      <c r="E52" s="373"/>
      <c r="F52" s="374"/>
      <c r="G52" s="181">
        <v>0</v>
      </c>
      <c r="H52" s="27" t="s">
        <v>44</v>
      </c>
      <c r="I52" s="410"/>
      <c r="J52" s="411"/>
      <c r="K52" s="186"/>
    </row>
    <row r="53" spans="1:54" ht="15.75" customHeight="1" thickTop="1" x14ac:dyDescent="0.2">
      <c r="A53" s="375"/>
      <c r="B53" s="367"/>
      <c r="C53" s="367" t="s">
        <v>47</v>
      </c>
      <c r="D53" s="370" t="s">
        <v>42</v>
      </c>
      <c r="E53" s="182" t="s">
        <v>47</v>
      </c>
      <c r="F53" s="24" t="s">
        <v>38</v>
      </c>
      <c r="G53" s="182">
        <v>0</v>
      </c>
      <c r="H53" s="25" t="s">
        <v>44</v>
      </c>
      <c r="I53" s="412"/>
      <c r="J53" s="413"/>
      <c r="K53" s="187"/>
    </row>
    <row r="54" spans="1:54" ht="15.75" customHeight="1" x14ac:dyDescent="0.2">
      <c r="A54" s="376"/>
      <c r="B54" s="368"/>
      <c r="C54" s="368"/>
      <c r="D54" s="371"/>
      <c r="E54" s="180" t="s">
        <v>276</v>
      </c>
      <c r="F54" s="21" t="s">
        <v>110</v>
      </c>
      <c r="G54" s="180">
        <v>0</v>
      </c>
      <c r="H54" s="238" t="s">
        <v>44</v>
      </c>
      <c r="I54" s="408"/>
      <c r="J54" s="409"/>
      <c r="K54" s="184"/>
    </row>
    <row r="55" spans="1:54" ht="15.75" customHeight="1" x14ac:dyDescent="0.2">
      <c r="A55" s="376"/>
      <c r="B55" s="368"/>
      <c r="C55" s="369"/>
      <c r="D55" s="372"/>
      <c r="E55" s="180" t="s">
        <v>47</v>
      </c>
      <c r="F55" s="21" t="s">
        <v>100</v>
      </c>
      <c r="G55" s="180">
        <v>0</v>
      </c>
      <c r="H55" s="238" t="s">
        <v>44</v>
      </c>
      <c r="I55" s="408"/>
      <c r="J55" s="409"/>
      <c r="K55" s="184"/>
    </row>
    <row r="56" spans="1:54" ht="15.75" customHeight="1" x14ac:dyDescent="0.2">
      <c r="A56" s="376"/>
      <c r="B56" s="368"/>
      <c r="C56" s="180" t="s">
        <v>47</v>
      </c>
      <c r="D56" s="238" t="s">
        <v>40</v>
      </c>
      <c r="E56" s="382"/>
      <c r="F56" s="383"/>
      <c r="G56" s="414"/>
      <c r="H56" s="415"/>
      <c r="I56" s="408"/>
      <c r="J56" s="409"/>
      <c r="K56" s="184"/>
    </row>
    <row r="57" spans="1:54" s="30" customFormat="1" ht="15.75" customHeight="1" x14ac:dyDescent="0.2">
      <c r="A57" s="376"/>
      <c r="B57" s="368"/>
      <c r="C57" s="180" t="s">
        <v>47</v>
      </c>
      <c r="D57" s="238" t="s">
        <v>101</v>
      </c>
      <c r="E57" s="384"/>
      <c r="F57" s="385"/>
      <c r="G57" s="180">
        <v>0</v>
      </c>
      <c r="H57" s="238" t="s">
        <v>39</v>
      </c>
      <c r="I57" s="408"/>
      <c r="J57" s="409"/>
      <c r="K57" s="184"/>
    </row>
    <row r="58" spans="1:54" ht="15.75" customHeight="1" x14ac:dyDescent="0.2">
      <c r="A58" s="376"/>
      <c r="B58" s="368"/>
      <c r="C58" s="180" t="s">
        <v>47</v>
      </c>
      <c r="D58" s="238" t="s">
        <v>41</v>
      </c>
      <c r="E58" s="386"/>
      <c r="F58" s="387"/>
      <c r="G58" s="414"/>
      <c r="H58" s="415"/>
      <c r="I58" s="410"/>
      <c r="J58" s="411"/>
      <c r="K58" s="186"/>
    </row>
    <row r="59" spans="1:54" ht="15.75" customHeight="1" thickBot="1" x14ac:dyDescent="0.25">
      <c r="A59" s="380"/>
      <c r="B59" s="381"/>
      <c r="C59" s="181" t="s">
        <v>47</v>
      </c>
      <c r="D59" s="27" t="s">
        <v>43</v>
      </c>
      <c r="E59" s="373"/>
      <c r="F59" s="374"/>
      <c r="G59" s="181">
        <v>0</v>
      </c>
      <c r="H59" s="27" t="s">
        <v>44</v>
      </c>
      <c r="I59" s="408"/>
      <c r="J59" s="409"/>
      <c r="K59" s="184"/>
    </row>
    <row r="60" spans="1:54" ht="19.5" customHeight="1" thickTop="1" x14ac:dyDescent="0.2"/>
    <row r="61" spans="1:54" ht="20.149999999999999" customHeight="1" x14ac:dyDescent="0.2">
      <c r="A61" s="5" t="s">
        <v>232</v>
      </c>
      <c r="I61" s="28"/>
      <c r="J61" s="28"/>
      <c r="K61" s="28" t="s">
        <v>55</v>
      </c>
    </row>
    <row r="62" spans="1:54" ht="20.149999999999999" customHeight="1" x14ac:dyDescent="0.2">
      <c r="A62" s="426" t="s">
        <v>236</v>
      </c>
      <c r="B62" s="427"/>
      <c r="C62" s="428"/>
      <c r="D62" s="429"/>
      <c r="E62" s="430"/>
      <c r="F62" s="430"/>
      <c r="G62" s="430"/>
      <c r="H62" s="430"/>
      <c r="I62" s="430"/>
      <c r="J62" s="430"/>
      <c r="K62" s="431"/>
    </row>
    <row r="63" spans="1:54" ht="20.149999999999999" customHeight="1" thickBot="1" x14ac:dyDescent="0.25">
      <c r="A63" s="422" t="s">
        <v>54</v>
      </c>
      <c r="B63" s="423"/>
      <c r="C63" s="423"/>
      <c r="D63" s="396">
        <f>IF(判定!D8=TRUE,IF(OR(判定!C4,判定!D4)=TRUE,MIN(ROUNDDOWN(D62,-3),1200000),MIN(ROUNDDOWN(D62,-3),1025000)),IF(OR(判定!C4,判定!D4)=TRUE,MIN(ROUNDDOWN(D62,-3),950000),MIN(ROUNDDOWN(D62,-3),766000)))</f>
        <v>0</v>
      </c>
      <c r="E63" s="397"/>
      <c r="F63" s="397"/>
      <c r="G63" s="397"/>
      <c r="H63" s="397"/>
      <c r="I63" s="397"/>
      <c r="J63" s="397"/>
      <c r="K63" s="398"/>
      <c r="BA63" s="45"/>
    </row>
    <row r="64" spans="1:54" ht="15.75" customHeight="1" thickBot="1" x14ac:dyDescent="0.25">
      <c r="A64" s="394" t="s">
        <v>111</v>
      </c>
      <c r="B64" s="395"/>
      <c r="C64" s="395"/>
      <c r="D64" s="399"/>
      <c r="E64" s="400"/>
      <c r="F64" s="400"/>
      <c r="G64" s="400"/>
      <c r="H64" s="400"/>
      <c r="I64" s="400"/>
      <c r="J64" s="400"/>
      <c r="K64" s="401"/>
      <c r="BA64" s="152"/>
      <c r="BB64" s="152"/>
    </row>
    <row r="65" spans="1:11" ht="15.75" customHeight="1" thickBot="1" x14ac:dyDescent="0.25">
      <c r="A65" s="402" t="s">
        <v>123</v>
      </c>
      <c r="B65" s="403"/>
      <c r="C65" s="404"/>
      <c r="D65" s="405">
        <f>'計算（様式1-1）'!G67</f>
        <v>0</v>
      </c>
      <c r="E65" s="406"/>
      <c r="F65" s="406"/>
      <c r="G65" s="239" t="s">
        <v>119</v>
      </c>
      <c r="H65" s="407">
        <f>様式１!M20</f>
        <v>0</v>
      </c>
      <c r="I65" s="407"/>
      <c r="J65" s="47" t="s">
        <v>118</v>
      </c>
      <c r="K65" s="46">
        <f>D65*H65</f>
        <v>0</v>
      </c>
    </row>
    <row r="66" spans="1:11" ht="15.75" customHeight="1" x14ac:dyDescent="0.2">
      <c r="A66" s="45"/>
      <c r="B66" s="45"/>
      <c r="C66" s="45"/>
      <c r="D66" s="45"/>
      <c r="E66" s="45" t="s">
        <v>121</v>
      </c>
      <c r="F66" s="44"/>
      <c r="G66" s="32"/>
      <c r="H66" s="33"/>
      <c r="I66" s="34"/>
      <c r="J66" s="34"/>
    </row>
    <row r="67" spans="1:11" ht="15.75" customHeight="1" x14ac:dyDescent="0.2">
      <c r="A67" s="5" t="s">
        <v>233</v>
      </c>
      <c r="F67" s="15"/>
      <c r="G67" s="16"/>
      <c r="H67" s="16"/>
      <c r="I67" s="16"/>
      <c r="J67" s="16"/>
    </row>
    <row r="68" spans="1:11" ht="15.75" customHeight="1" thickBot="1" x14ac:dyDescent="0.25">
      <c r="A68" s="238" t="s">
        <v>35</v>
      </c>
      <c r="B68" s="238" t="s">
        <v>116</v>
      </c>
      <c r="C68" s="392" t="s">
        <v>45</v>
      </c>
      <c r="D68" s="392"/>
      <c r="E68" s="392"/>
      <c r="F68" s="392"/>
      <c r="G68" s="393" t="s">
        <v>46</v>
      </c>
      <c r="H68" s="393"/>
      <c r="I68" s="417" t="s">
        <v>36</v>
      </c>
      <c r="J68" s="418"/>
      <c r="K68" s="241" t="s">
        <v>97</v>
      </c>
    </row>
    <row r="69" spans="1:11" ht="15.75" customHeight="1" thickTop="1" x14ac:dyDescent="0.2">
      <c r="A69" s="375"/>
      <c r="B69" s="367"/>
      <c r="C69" s="367" t="s">
        <v>47</v>
      </c>
      <c r="D69" s="370" t="s">
        <v>42</v>
      </c>
      <c r="E69" s="182" t="s">
        <v>47</v>
      </c>
      <c r="F69" s="24" t="s">
        <v>38</v>
      </c>
      <c r="G69" s="182">
        <v>0</v>
      </c>
      <c r="H69" s="25" t="s">
        <v>44</v>
      </c>
      <c r="I69" s="390"/>
      <c r="J69" s="391"/>
      <c r="K69" s="187"/>
    </row>
    <row r="70" spans="1:11" ht="15.75" customHeight="1" x14ac:dyDescent="0.2">
      <c r="A70" s="376"/>
      <c r="B70" s="368"/>
      <c r="C70" s="368"/>
      <c r="D70" s="371"/>
      <c r="E70" s="180" t="s">
        <v>47</v>
      </c>
      <c r="F70" s="21" t="s">
        <v>110</v>
      </c>
      <c r="G70" s="180">
        <v>0</v>
      </c>
      <c r="H70" s="238" t="s">
        <v>44</v>
      </c>
      <c r="I70" s="388"/>
      <c r="J70" s="389"/>
      <c r="K70" s="184"/>
    </row>
    <row r="71" spans="1:11" ht="15.75" customHeight="1" x14ac:dyDescent="0.2">
      <c r="A71" s="376"/>
      <c r="B71" s="368"/>
      <c r="C71" s="369"/>
      <c r="D71" s="372"/>
      <c r="E71" s="180" t="s">
        <v>47</v>
      </c>
      <c r="F71" s="21" t="s">
        <v>100</v>
      </c>
      <c r="G71" s="180">
        <v>0</v>
      </c>
      <c r="H71" s="238" t="s">
        <v>44</v>
      </c>
      <c r="I71" s="388"/>
      <c r="J71" s="389"/>
      <c r="K71" s="184"/>
    </row>
    <row r="72" spans="1:11" ht="15.75" customHeight="1" x14ac:dyDescent="0.2">
      <c r="A72" s="376"/>
      <c r="B72" s="368"/>
      <c r="C72" s="180" t="s">
        <v>47</v>
      </c>
      <c r="D72" s="238" t="s">
        <v>40</v>
      </c>
      <c r="E72" s="382"/>
      <c r="F72" s="383"/>
      <c r="G72" s="414"/>
      <c r="H72" s="415"/>
      <c r="I72" s="388"/>
      <c r="J72" s="389"/>
      <c r="K72" s="184"/>
    </row>
    <row r="73" spans="1:11" ht="15.75" customHeight="1" x14ac:dyDescent="0.2">
      <c r="A73" s="376"/>
      <c r="B73" s="368"/>
      <c r="C73" s="180" t="s">
        <v>47</v>
      </c>
      <c r="D73" s="238" t="s">
        <v>101</v>
      </c>
      <c r="E73" s="384"/>
      <c r="F73" s="385"/>
      <c r="G73" s="180">
        <v>0</v>
      </c>
      <c r="H73" s="238" t="s">
        <v>39</v>
      </c>
      <c r="I73" s="388"/>
      <c r="J73" s="389"/>
      <c r="K73" s="184"/>
    </row>
    <row r="74" spans="1:11" ht="15.75" customHeight="1" x14ac:dyDescent="0.2">
      <c r="A74" s="376"/>
      <c r="B74" s="368"/>
      <c r="C74" s="180" t="s">
        <v>47</v>
      </c>
      <c r="D74" s="238" t="s">
        <v>41</v>
      </c>
      <c r="E74" s="386"/>
      <c r="F74" s="387"/>
      <c r="G74" s="414"/>
      <c r="H74" s="415"/>
      <c r="I74" s="388"/>
      <c r="J74" s="389"/>
      <c r="K74" s="184"/>
    </row>
    <row r="75" spans="1:11" ht="15.75" customHeight="1" thickBot="1" x14ac:dyDescent="0.25">
      <c r="A75" s="380"/>
      <c r="B75" s="381"/>
      <c r="C75" s="181" t="s">
        <v>47</v>
      </c>
      <c r="D75" s="27" t="s">
        <v>43</v>
      </c>
      <c r="E75" s="373"/>
      <c r="F75" s="374"/>
      <c r="G75" s="181">
        <v>0</v>
      </c>
      <c r="H75" s="27" t="s">
        <v>44</v>
      </c>
      <c r="I75" s="388"/>
      <c r="J75" s="389"/>
      <c r="K75" s="185"/>
    </row>
    <row r="76" spans="1:11" ht="15.75" customHeight="1" thickTop="1" x14ac:dyDescent="0.2">
      <c r="A76" s="375"/>
      <c r="B76" s="367"/>
      <c r="C76" s="367" t="s">
        <v>47</v>
      </c>
      <c r="D76" s="370" t="s">
        <v>42</v>
      </c>
      <c r="E76" s="182" t="s">
        <v>47</v>
      </c>
      <c r="F76" s="24" t="s">
        <v>38</v>
      </c>
      <c r="G76" s="182">
        <v>0</v>
      </c>
      <c r="H76" s="25" t="s">
        <v>44</v>
      </c>
      <c r="I76" s="390"/>
      <c r="J76" s="391"/>
      <c r="K76" s="188"/>
    </row>
    <row r="77" spans="1:11" ht="15.75" customHeight="1" x14ac:dyDescent="0.2">
      <c r="A77" s="376"/>
      <c r="B77" s="368"/>
      <c r="C77" s="368"/>
      <c r="D77" s="371"/>
      <c r="E77" s="180" t="s">
        <v>47</v>
      </c>
      <c r="F77" s="21" t="s">
        <v>110</v>
      </c>
      <c r="G77" s="180">
        <v>0</v>
      </c>
      <c r="H77" s="238" t="s">
        <v>44</v>
      </c>
      <c r="I77" s="388"/>
      <c r="J77" s="389"/>
      <c r="K77" s="184"/>
    </row>
    <row r="78" spans="1:11" ht="15.75" customHeight="1" x14ac:dyDescent="0.2">
      <c r="A78" s="376"/>
      <c r="B78" s="368"/>
      <c r="C78" s="369"/>
      <c r="D78" s="372"/>
      <c r="E78" s="180" t="s">
        <v>47</v>
      </c>
      <c r="F78" s="21" t="s">
        <v>100</v>
      </c>
      <c r="G78" s="180">
        <v>0</v>
      </c>
      <c r="H78" s="238" t="s">
        <v>44</v>
      </c>
      <c r="I78" s="388"/>
      <c r="J78" s="389"/>
      <c r="K78" s="184"/>
    </row>
    <row r="79" spans="1:11" ht="15.75" customHeight="1" x14ac:dyDescent="0.2">
      <c r="A79" s="376"/>
      <c r="B79" s="368"/>
      <c r="C79" s="180" t="s">
        <v>47</v>
      </c>
      <c r="D79" s="238" t="s">
        <v>40</v>
      </c>
      <c r="E79" s="382"/>
      <c r="F79" s="383"/>
      <c r="G79" s="414"/>
      <c r="H79" s="415"/>
      <c r="I79" s="388"/>
      <c r="J79" s="389"/>
      <c r="K79" s="184"/>
    </row>
    <row r="80" spans="1:11" ht="15.75" customHeight="1" x14ac:dyDescent="0.2">
      <c r="A80" s="376"/>
      <c r="B80" s="368"/>
      <c r="C80" s="180" t="s">
        <v>47</v>
      </c>
      <c r="D80" s="238" t="s">
        <v>101</v>
      </c>
      <c r="E80" s="384"/>
      <c r="F80" s="385"/>
      <c r="G80" s="180">
        <v>0</v>
      </c>
      <c r="H80" s="238" t="s">
        <v>39</v>
      </c>
      <c r="I80" s="388"/>
      <c r="J80" s="389"/>
      <c r="K80" s="184"/>
    </row>
    <row r="81" spans="1:11" ht="15.75" customHeight="1" x14ac:dyDescent="0.2">
      <c r="A81" s="376"/>
      <c r="B81" s="368"/>
      <c r="C81" s="180" t="s">
        <v>47</v>
      </c>
      <c r="D81" s="238" t="s">
        <v>41</v>
      </c>
      <c r="E81" s="386"/>
      <c r="F81" s="387"/>
      <c r="G81" s="414"/>
      <c r="H81" s="415"/>
      <c r="I81" s="388"/>
      <c r="J81" s="389"/>
      <c r="K81" s="184"/>
    </row>
    <row r="82" spans="1:11" ht="15.75" customHeight="1" thickBot="1" x14ac:dyDescent="0.25">
      <c r="A82" s="380"/>
      <c r="B82" s="381"/>
      <c r="C82" s="181" t="s">
        <v>47</v>
      </c>
      <c r="D82" s="27" t="s">
        <v>43</v>
      </c>
      <c r="E82" s="373"/>
      <c r="F82" s="374"/>
      <c r="G82" s="181">
        <v>0</v>
      </c>
      <c r="H82" s="27" t="s">
        <v>44</v>
      </c>
      <c r="I82" s="388"/>
      <c r="J82" s="389"/>
      <c r="K82" s="185"/>
    </row>
    <row r="83" spans="1:11" ht="15.75" customHeight="1" thickTop="1" x14ac:dyDescent="0.2">
      <c r="A83" s="375"/>
      <c r="B83" s="367"/>
      <c r="C83" s="367" t="s">
        <v>47</v>
      </c>
      <c r="D83" s="370" t="s">
        <v>42</v>
      </c>
      <c r="E83" s="182" t="s">
        <v>47</v>
      </c>
      <c r="F83" s="24" t="s">
        <v>38</v>
      </c>
      <c r="G83" s="182">
        <v>0</v>
      </c>
      <c r="H83" s="25" t="s">
        <v>44</v>
      </c>
      <c r="I83" s="390"/>
      <c r="J83" s="391"/>
      <c r="K83" s="188"/>
    </row>
    <row r="84" spans="1:11" ht="15.75" customHeight="1" x14ac:dyDescent="0.2">
      <c r="A84" s="376"/>
      <c r="B84" s="368"/>
      <c r="C84" s="368"/>
      <c r="D84" s="371"/>
      <c r="E84" s="180" t="s">
        <v>47</v>
      </c>
      <c r="F84" s="21" t="s">
        <v>110</v>
      </c>
      <c r="G84" s="180">
        <v>0</v>
      </c>
      <c r="H84" s="238" t="s">
        <v>44</v>
      </c>
      <c r="I84" s="388"/>
      <c r="J84" s="389"/>
      <c r="K84" s="184"/>
    </row>
    <row r="85" spans="1:11" ht="15.75" customHeight="1" x14ac:dyDescent="0.2">
      <c r="A85" s="376"/>
      <c r="B85" s="368"/>
      <c r="C85" s="369"/>
      <c r="D85" s="372"/>
      <c r="E85" s="180" t="s">
        <v>47</v>
      </c>
      <c r="F85" s="21" t="s">
        <v>100</v>
      </c>
      <c r="G85" s="180">
        <v>0</v>
      </c>
      <c r="H85" s="238" t="s">
        <v>44</v>
      </c>
      <c r="I85" s="388"/>
      <c r="J85" s="389"/>
      <c r="K85" s="184"/>
    </row>
    <row r="86" spans="1:11" ht="15.75" customHeight="1" x14ac:dyDescent="0.2">
      <c r="A86" s="376"/>
      <c r="B86" s="368"/>
      <c r="C86" s="180" t="s">
        <v>47</v>
      </c>
      <c r="D86" s="238" t="s">
        <v>40</v>
      </c>
      <c r="E86" s="382"/>
      <c r="F86" s="383"/>
      <c r="G86" s="414"/>
      <c r="H86" s="415"/>
      <c r="I86" s="388"/>
      <c r="J86" s="389"/>
      <c r="K86" s="184"/>
    </row>
    <row r="87" spans="1:11" ht="15.75" customHeight="1" x14ac:dyDescent="0.2">
      <c r="A87" s="376"/>
      <c r="B87" s="368"/>
      <c r="C87" s="180" t="s">
        <v>47</v>
      </c>
      <c r="D87" s="238" t="s">
        <v>101</v>
      </c>
      <c r="E87" s="384"/>
      <c r="F87" s="385"/>
      <c r="G87" s="180">
        <v>0</v>
      </c>
      <c r="H87" s="238" t="s">
        <v>39</v>
      </c>
      <c r="I87" s="388"/>
      <c r="J87" s="389"/>
      <c r="K87" s="184"/>
    </row>
    <row r="88" spans="1:11" ht="15.75" customHeight="1" x14ac:dyDescent="0.2">
      <c r="A88" s="376"/>
      <c r="B88" s="368"/>
      <c r="C88" s="180" t="s">
        <v>47</v>
      </c>
      <c r="D88" s="238" t="s">
        <v>41</v>
      </c>
      <c r="E88" s="386"/>
      <c r="F88" s="387"/>
      <c r="G88" s="414"/>
      <c r="H88" s="415"/>
      <c r="I88" s="388"/>
      <c r="J88" s="389"/>
      <c r="K88" s="184"/>
    </row>
    <row r="89" spans="1:11" ht="15.75" customHeight="1" thickBot="1" x14ac:dyDescent="0.25">
      <c r="A89" s="380"/>
      <c r="B89" s="381"/>
      <c r="C89" s="181" t="s">
        <v>47</v>
      </c>
      <c r="D89" s="27" t="s">
        <v>43</v>
      </c>
      <c r="E89" s="373"/>
      <c r="F89" s="374"/>
      <c r="G89" s="181">
        <v>0</v>
      </c>
      <c r="H89" s="27" t="s">
        <v>44</v>
      </c>
      <c r="I89" s="388"/>
      <c r="J89" s="389"/>
      <c r="K89" s="185"/>
    </row>
    <row r="90" spans="1:11" ht="15.75" customHeight="1" thickTop="1" x14ac:dyDescent="0.2">
      <c r="A90" s="375"/>
      <c r="B90" s="367"/>
      <c r="C90" s="367" t="s">
        <v>47</v>
      </c>
      <c r="D90" s="370" t="s">
        <v>42</v>
      </c>
      <c r="E90" s="182" t="s">
        <v>47</v>
      </c>
      <c r="F90" s="24" t="s">
        <v>38</v>
      </c>
      <c r="G90" s="182">
        <v>0</v>
      </c>
      <c r="H90" s="25" t="s">
        <v>44</v>
      </c>
      <c r="I90" s="390"/>
      <c r="J90" s="391"/>
      <c r="K90" s="188"/>
    </row>
    <row r="91" spans="1:11" ht="15.75" customHeight="1" x14ac:dyDescent="0.2">
      <c r="A91" s="376"/>
      <c r="B91" s="368"/>
      <c r="C91" s="368"/>
      <c r="D91" s="371"/>
      <c r="E91" s="180" t="s">
        <v>47</v>
      </c>
      <c r="F91" s="21" t="s">
        <v>110</v>
      </c>
      <c r="G91" s="180">
        <v>0</v>
      </c>
      <c r="H91" s="238" t="s">
        <v>44</v>
      </c>
      <c r="I91" s="388"/>
      <c r="J91" s="389"/>
      <c r="K91" s="184"/>
    </row>
    <row r="92" spans="1:11" ht="15.75" customHeight="1" x14ac:dyDescent="0.2">
      <c r="A92" s="376"/>
      <c r="B92" s="368"/>
      <c r="C92" s="369"/>
      <c r="D92" s="372"/>
      <c r="E92" s="180" t="s">
        <v>47</v>
      </c>
      <c r="F92" s="21" t="s">
        <v>100</v>
      </c>
      <c r="G92" s="180">
        <v>0</v>
      </c>
      <c r="H92" s="238" t="s">
        <v>44</v>
      </c>
      <c r="I92" s="388"/>
      <c r="J92" s="389"/>
      <c r="K92" s="184"/>
    </row>
    <row r="93" spans="1:11" ht="15.75" customHeight="1" x14ac:dyDescent="0.2">
      <c r="A93" s="376"/>
      <c r="B93" s="368"/>
      <c r="C93" s="180" t="s">
        <v>47</v>
      </c>
      <c r="D93" s="238" t="s">
        <v>40</v>
      </c>
      <c r="E93" s="382"/>
      <c r="F93" s="383"/>
      <c r="G93" s="414"/>
      <c r="H93" s="415"/>
      <c r="I93" s="388"/>
      <c r="J93" s="389"/>
      <c r="K93" s="184"/>
    </row>
    <row r="94" spans="1:11" ht="15.75" customHeight="1" x14ac:dyDescent="0.2">
      <c r="A94" s="376"/>
      <c r="B94" s="368"/>
      <c r="C94" s="180" t="s">
        <v>47</v>
      </c>
      <c r="D94" s="238" t="s">
        <v>101</v>
      </c>
      <c r="E94" s="384"/>
      <c r="F94" s="385"/>
      <c r="G94" s="180">
        <v>0</v>
      </c>
      <c r="H94" s="238" t="s">
        <v>39</v>
      </c>
      <c r="I94" s="388"/>
      <c r="J94" s="389"/>
      <c r="K94" s="184"/>
    </row>
    <row r="95" spans="1:11" ht="15.75" customHeight="1" x14ac:dyDescent="0.2">
      <c r="A95" s="376"/>
      <c r="B95" s="368"/>
      <c r="C95" s="180" t="s">
        <v>47</v>
      </c>
      <c r="D95" s="238" t="s">
        <v>41</v>
      </c>
      <c r="E95" s="386"/>
      <c r="F95" s="387"/>
      <c r="G95" s="414"/>
      <c r="H95" s="415"/>
      <c r="I95" s="388"/>
      <c r="J95" s="389"/>
      <c r="K95" s="184"/>
    </row>
    <row r="96" spans="1:11" ht="15.75" customHeight="1" thickBot="1" x14ac:dyDescent="0.25">
      <c r="A96" s="380"/>
      <c r="B96" s="381"/>
      <c r="C96" s="181" t="s">
        <v>47</v>
      </c>
      <c r="D96" s="27" t="s">
        <v>43</v>
      </c>
      <c r="E96" s="373"/>
      <c r="F96" s="374"/>
      <c r="G96" s="181">
        <v>0</v>
      </c>
      <c r="H96" s="27" t="s">
        <v>44</v>
      </c>
      <c r="I96" s="388"/>
      <c r="J96" s="389"/>
      <c r="K96" s="185"/>
    </row>
    <row r="97" spans="1:11" ht="15.75" customHeight="1" thickTop="1" x14ac:dyDescent="0.2">
      <c r="A97" s="375"/>
      <c r="B97" s="367"/>
      <c r="C97" s="367" t="s">
        <v>47</v>
      </c>
      <c r="D97" s="370" t="s">
        <v>42</v>
      </c>
      <c r="E97" s="182" t="s">
        <v>47</v>
      </c>
      <c r="F97" s="24" t="s">
        <v>38</v>
      </c>
      <c r="G97" s="182">
        <v>0</v>
      </c>
      <c r="H97" s="25" t="s">
        <v>44</v>
      </c>
      <c r="I97" s="390"/>
      <c r="J97" s="391"/>
      <c r="K97" s="188"/>
    </row>
    <row r="98" spans="1:11" ht="15.75" customHeight="1" x14ac:dyDescent="0.2">
      <c r="A98" s="376"/>
      <c r="B98" s="368"/>
      <c r="C98" s="368"/>
      <c r="D98" s="371"/>
      <c r="E98" s="180" t="s">
        <v>47</v>
      </c>
      <c r="F98" s="21" t="s">
        <v>110</v>
      </c>
      <c r="G98" s="180">
        <v>0</v>
      </c>
      <c r="H98" s="238" t="s">
        <v>44</v>
      </c>
      <c r="I98" s="388"/>
      <c r="J98" s="389"/>
      <c r="K98" s="184"/>
    </row>
    <row r="99" spans="1:11" ht="15.75" customHeight="1" x14ac:dyDescent="0.2">
      <c r="A99" s="376"/>
      <c r="B99" s="368"/>
      <c r="C99" s="369"/>
      <c r="D99" s="372"/>
      <c r="E99" s="180" t="s">
        <v>47</v>
      </c>
      <c r="F99" s="21" t="s">
        <v>100</v>
      </c>
      <c r="G99" s="180">
        <v>0</v>
      </c>
      <c r="H99" s="238" t="s">
        <v>44</v>
      </c>
      <c r="I99" s="388"/>
      <c r="J99" s="389"/>
      <c r="K99" s="184"/>
    </row>
    <row r="100" spans="1:11" ht="15.75" customHeight="1" x14ac:dyDescent="0.2">
      <c r="A100" s="376"/>
      <c r="B100" s="368"/>
      <c r="C100" s="180" t="s">
        <v>47</v>
      </c>
      <c r="D100" s="238" t="s">
        <v>40</v>
      </c>
      <c r="E100" s="382"/>
      <c r="F100" s="383"/>
      <c r="G100" s="414"/>
      <c r="H100" s="415"/>
      <c r="I100" s="388"/>
      <c r="J100" s="389"/>
      <c r="K100" s="184"/>
    </row>
    <row r="101" spans="1:11" ht="15.75" customHeight="1" x14ac:dyDescent="0.2">
      <c r="A101" s="376"/>
      <c r="B101" s="368"/>
      <c r="C101" s="180" t="s">
        <v>47</v>
      </c>
      <c r="D101" s="238" t="s">
        <v>101</v>
      </c>
      <c r="E101" s="384"/>
      <c r="F101" s="385"/>
      <c r="G101" s="180">
        <v>0</v>
      </c>
      <c r="H101" s="238" t="s">
        <v>39</v>
      </c>
      <c r="I101" s="388"/>
      <c r="J101" s="389"/>
      <c r="K101" s="184"/>
    </row>
    <row r="102" spans="1:11" ht="15.75" customHeight="1" x14ac:dyDescent="0.2">
      <c r="A102" s="376"/>
      <c r="B102" s="368"/>
      <c r="C102" s="180" t="s">
        <v>47</v>
      </c>
      <c r="D102" s="238" t="s">
        <v>41</v>
      </c>
      <c r="E102" s="386"/>
      <c r="F102" s="387"/>
      <c r="G102" s="414"/>
      <c r="H102" s="415"/>
      <c r="I102" s="388"/>
      <c r="J102" s="389"/>
      <c r="K102" s="184"/>
    </row>
    <row r="103" spans="1:11" ht="15.75" customHeight="1" thickBot="1" x14ac:dyDescent="0.25">
      <c r="A103" s="380"/>
      <c r="B103" s="381"/>
      <c r="C103" s="181" t="s">
        <v>47</v>
      </c>
      <c r="D103" s="27" t="s">
        <v>43</v>
      </c>
      <c r="E103" s="373"/>
      <c r="F103" s="374"/>
      <c r="G103" s="181">
        <v>0</v>
      </c>
      <c r="H103" s="27" t="s">
        <v>44</v>
      </c>
      <c r="I103" s="388"/>
      <c r="J103" s="389"/>
      <c r="K103" s="185"/>
    </row>
    <row r="104" spans="1:11" ht="15.75" customHeight="1" thickTop="1" x14ac:dyDescent="0.2">
      <c r="A104" s="375"/>
      <c r="B104" s="367"/>
      <c r="C104" s="367" t="s">
        <v>47</v>
      </c>
      <c r="D104" s="370" t="s">
        <v>42</v>
      </c>
      <c r="E104" s="182" t="s">
        <v>47</v>
      </c>
      <c r="F104" s="24" t="s">
        <v>38</v>
      </c>
      <c r="G104" s="182">
        <v>0</v>
      </c>
      <c r="H104" s="25" t="s">
        <v>44</v>
      </c>
      <c r="I104" s="390"/>
      <c r="J104" s="391"/>
      <c r="K104" s="188"/>
    </row>
    <row r="105" spans="1:11" ht="15.75" customHeight="1" x14ac:dyDescent="0.2">
      <c r="A105" s="376"/>
      <c r="B105" s="368"/>
      <c r="C105" s="368"/>
      <c r="D105" s="371"/>
      <c r="E105" s="180" t="s">
        <v>47</v>
      </c>
      <c r="F105" s="21" t="s">
        <v>110</v>
      </c>
      <c r="G105" s="180">
        <v>0</v>
      </c>
      <c r="H105" s="238" t="s">
        <v>44</v>
      </c>
      <c r="I105" s="388"/>
      <c r="J105" s="389"/>
      <c r="K105" s="184"/>
    </row>
    <row r="106" spans="1:11" ht="15.75" customHeight="1" x14ac:dyDescent="0.2">
      <c r="A106" s="376"/>
      <c r="B106" s="368"/>
      <c r="C106" s="369"/>
      <c r="D106" s="372"/>
      <c r="E106" s="180" t="s">
        <v>47</v>
      </c>
      <c r="F106" s="21" t="s">
        <v>100</v>
      </c>
      <c r="G106" s="180">
        <v>0</v>
      </c>
      <c r="H106" s="238" t="s">
        <v>44</v>
      </c>
      <c r="I106" s="388"/>
      <c r="J106" s="389"/>
      <c r="K106" s="184"/>
    </row>
    <row r="107" spans="1:11" ht="15.75" customHeight="1" x14ac:dyDescent="0.2">
      <c r="A107" s="376"/>
      <c r="B107" s="368"/>
      <c r="C107" s="180" t="s">
        <v>47</v>
      </c>
      <c r="D107" s="238" t="s">
        <v>40</v>
      </c>
      <c r="E107" s="382"/>
      <c r="F107" s="383"/>
      <c r="G107" s="414"/>
      <c r="H107" s="415"/>
      <c r="I107" s="388"/>
      <c r="J107" s="389"/>
      <c r="K107" s="184"/>
    </row>
    <row r="108" spans="1:11" ht="15.75" customHeight="1" x14ac:dyDescent="0.2">
      <c r="A108" s="376"/>
      <c r="B108" s="368"/>
      <c r="C108" s="180" t="s">
        <v>47</v>
      </c>
      <c r="D108" s="238" t="s">
        <v>101</v>
      </c>
      <c r="E108" s="384"/>
      <c r="F108" s="385"/>
      <c r="G108" s="180">
        <v>0</v>
      </c>
      <c r="H108" s="238" t="s">
        <v>39</v>
      </c>
      <c r="I108" s="388"/>
      <c r="J108" s="389"/>
      <c r="K108" s="184"/>
    </row>
    <row r="109" spans="1:11" ht="15.75" customHeight="1" x14ac:dyDescent="0.2">
      <c r="A109" s="376"/>
      <c r="B109" s="368"/>
      <c r="C109" s="180" t="s">
        <v>47</v>
      </c>
      <c r="D109" s="238" t="s">
        <v>41</v>
      </c>
      <c r="E109" s="386"/>
      <c r="F109" s="387"/>
      <c r="G109" s="414"/>
      <c r="H109" s="415"/>
      <c r="I109" s="388"/>
      <c r="J109" s="389"/>
      <c r="K109" s="184"/>
    </row>
    <row r="110" spans="1:11" ht="15.75" customHeight="1" thickBot="1" x14ac:dyDescent="0.25">
      <c r="A110" s="380"/>
      <c r="B110" s="381"/>
      <c r="C110" s="181" t="s">
        <v>47</v>
      </c>
      <c r="D110" s="27" t="s">
        <v>43</v>
      </c>
      <c r="E110" s="373"/>
      <c r="F110" s="374"/>
      <c r="G110" s="181">
        <v>0</v>
      </c>
      <c r="H110" s="27" t="s">
        <v>44</v>
      </c>
      <c r="I110" s="388"/>
      <c r="J110" s="389"/>
      <c r="K110" s="185"/>
    </row>
    <row r="111" spans="1:11" ht="15.75" customHeight="1" thickTop="1" x14ac:dyDescent="0.2">
      <c r="A111" s="375"/>
      <c r="B111" s="367"/>
      <c r="C111" s="367" t="s">
        <v>47</v>
      </c>
      <c r="D111" s="370" t="s">
        <v>42</v>
      </c>
      <c r="E111" s="182" t="s">
        <v>47</v>
      </c>
      <c r="F111" s="24" t="s">
        <v>38</v>
      </c>
      <c r="G111" s="182">
        <v>0</v>
      </c>
      <c r="H111" s="25" t="s">
        <v>44</v>
      </c>
      <c r="I111" s="390"/>
      <c r="J111" s="391"/>
      <c r="K111" s="188"/>
    </row>
    <row r="112" spans="1:11" ht="15.75" customHeight="1" x14ac:dyDescent="0.2">
      <c r="A112" s="376"/>
      <c r="B112" s="368"/>
      <c r="C112" s="368"/>
      <c r="D112" s="371"/>
      <c r="E112" s="180" t="s">
        <v>47</v>
      </c>
      <c r="F112" s="21" t="s">
        <v>110</v>
      </c>
      <c r="G112" s="180">
        <v>0</v>
      </c>
      <c r="H112" s="238" t="s">
        <v>44</v>
      </c>
      <c r="I112" s="388"/>
      <c r="J112" s="389"/>
      <c r="K112" s="184"/>
    </row>
    <row r="113" spans="1:11" ht="15.75" customHeight="1" x14ac:dyDescent="0.2">
      <c r="A113" s="376"/>
      <c r="B113" s="368"/>
      <c r="C113" s="369"/>
      <c r="D113" s="372"/>
      <c r="E113" s="180" t="s">
        <v>47</v>
      </c>
      <c r="F113" s="21" t="s">
        <v>100</v>
      </c>
      <c r="G113" s="180">
        <v>0</v>
      </c>
      <c r="H113" s="238" t="s">
        <v>44</v>
      </c>
      <c r="I113" s="388"/>
      <c r="J113" s="389"/>
      <c r="K113" s="184"/>
    </row>
    <row r="114" spans="1:11" ht="15.75" customHeight="1" x14ac:dyDescent="0.2">
      <c r="A114" s="376"/>
      <c r="B114" s="368"/>
      <c r="C114" s="180" t="s">
        <v>47</v>
      </c>
      <c r="D114" s="238" t="s">
        <v>40</v>
      </c>
      <c r="E114" s="382"/>
      <c r="F114" s="383"/>
      <c r="G114" s="414"/>
      <c r="H114" s="415"/>
      <c r="I114" s="388"/>
      <c r="J114" s="389"/>
      <c r="K114" s="184"/>
    </row>
    <row r="115" spans="1:11" ht="15.75" customHeight="1" x14ac:dyDescent="0.2">
      <c r="A115" s="376"/>
      <c r="B115" s="368"/>
      <c r="C115" s="180" t="s">
        <v>47</v>
      </c>
      <c r="D115" s="238" t="s">
        <v>101</v>
      </c>
      <c r="E115" s="384"/>
      <c r="F115" s="385"/>
      <c r="G115" s="180">
        <v>0</v>
      </c>
      <c r="H115" s="238" t="s">
        <v>39</v>
      </c>
      <c r="I115" s="388"/>
      <c r="J115" s="389"/>
      <c r="K115" s="184"/>
    </row>
    <row r="116" spans="1:11" ht="15.75" customHeight="1" x14ac:dyDescent="0.2">
      <c r="A116" s="376"/>
      <c r="B116" s="368"/>
      <c r="C116" s="180" t="s">
        <v>47</v>
      </c>
      <c r="D116" s="238" t="s">
        <v>41</v>
      </c>
      <c r="E116" s="386"/>
      <c r="F116" s="387"/>
      <c r="G116" s="414"/>
      <c r="H116" s="415"/>
      <c r="I116" s="388"/>
      <c r="J116" s="389"/>
      <c r="K116" s="184"/>
    </row>
    <row r="117" spans="1:11" ht="15.75" customHeight="1" thickBot="1" x14ac:dyDescent="0.25">
      <c r="A117" s="380"/>
      <c r="B117" s="381"/>
      <c r="C117" s="181" t="s">
        <v>47</v>
      </c>
      <c r="D117" s="27" t="s">
        <v>43</v>
      </c>
      <c r="E117" s="373"/>
      <c r="F117" s="374"/>
      <c r="G117" s="181">
        <v>0</v>
      </c>
      <c r="H117" s="27" t="s">
        <v>44</v>
      </c>
      <c r="I117" s="388"/>
      <c r="J117" s="389"/>
      <c r="K117" s="185"/>
    </row>
    <row r="118" spans="1:11" ht="15.75" customHeight="1" thickTop="1" x14ac:dyDescent="0.2">
      <c r="A118" s="375"/>
      <c r="B118" s="367"/>
      <c r="C118" s="367" t="s">
        <v>47</v>
      </c>
      <c r="D118" s="370" t="s">
        <v>42</v>
      </c>
      <c r="E118" s="182" t="s">
        <v>47</v>
      </c>
      <c r="F118" s="24" t="s">
        <v>38</v>
      </c>
      <c r="G118" s="182">
        <v>0</v>
      </c>
      <c r="H118" s="25" t="s">
        <v>44</v>
      </c>
      <c r="I118" s="390"/>
      <c r="J118" s="391"/>
      <c r="K118" s="188"/>
    </row>
    <row r="119" spans="1:11" ht="15.75" customHeight="1" x14ac:dyDescent="0.2">
      <c r="A119" s="376"/>
      <c r="B119" s="368"/>
      <c r="C119" s="368"/>
      <c r="D119" s="371"/>
      <c r="E119" s="180" t="s">
        <v>47</v>
      </c>
      <c r="F119" s="21" t="s">
        <v>110</v>
      </c>
      <c r="G119" s="180">
        <v>0</v>
      </c>
      <c r="H119" s="238" t="s">
        <v>44</v>
      </c>
      <c r="I119" s="388"/>
      <c r="J119" s="389"/>
      <c r="K119" s="184"/>
    </row>
    <row r="120" spans="1:11" x14ac:dyDescent="0.2">
      <c r="A120" s="376"/>
      <c r="B120" s="368"/>
      <c r="C120" s="369"/>
      <c r="D120" s="372"/>
      <c r="E120" s="180" t="s">
        <v>47</v>
      </c>
      <c r="F120" s="21" t="s">
        <v>100</v>
      </c>
      <c r="G120" s="180">
        <v>0</v>
      </c>
      <c r="H120" s="238" t="s">
        <v>44</v>
      </c>
      <c r="I120" s="388"/>
      <c r="J120" s="389"/>
      <c r="K120" s="184"/>
    </row>
    <row r="121" spans="1:11" x14ac:dyDescent="0.2">
      <c r="A121" s="376"/>
      <c r="B121" s="368"/>
      <c r="C121" s="180" t="s">
        <v>47</v>
      </c>
      <c r="D121" s="238" t="s">
        <v>40</v>
      </c>
      <c r="E121" s="382"/>
      <c r="F121" s="383"/>
      <c r="G121" s="414"/>
      <c r="H121" s="415"/>
      <c r="I121" s="388"/>
      <c r="J121" s="389"/>
      <c r="K121" s="184"/>
    </row>
    <row r="122" spans="1:11" x14ac:dyDescent="0.2">
      <c r="A122" s="376"/>
      <c r="B122" s="368"/>
      <c r="C122" s="180" t="s">
        <v>47</v>
      </c>
      <c r="D122" s="238" t="s">
        <v>101</v>
      </c>
      <c r="E122" s="384"/>
      <c r="F122" s="385"/>
      <c r="G122" s="180">
        <v>0</v>
      </c>
      <c r="H122" s="238" t="s">
        <v>39</v>
      </c>
      <c r="I122" s="388"/>
      <c r="J122" s="389"/>
      <c r="K122" s="184"/>
    </row>
    <row r="123" spans="1:11" x14ac:dyDescent="0.2">
      <c r="A123" s="376"/>
      <c r="B123" s="368"/>
      <c r="C123" s="180" t="s">
        <v>47</v>
      </c>
      <c r="D123" s="238" t="s">
        <v>41</v>
      </c>
      <c r="E123" s="386"/>
      <c r="F123" s="387"/>
      <c r="G123" s="414"/>
      <c r="H123" s="415"/>
      <c r="I123" s="388"/>
      <c r="J123" s="389"/>
      <c r="K123" s="184"/>
    </row>
    <row r="124" spans="1:11" x14ac:dyDescent="0.2">
      <c r="A124" s="377"/>
      <c r="B124" s="369"/>
      <c r="C124" s="180" t="s">
        <v>47</v>
      </c>
      <c r="D124" s="238" t="s">
        <v>43</v>
      </c>
      <c r="E124" s="378"/>
      <c r="F124" s="379"/>
      <c r="G124" s="180">
        <v>0</v>
      </c>
      <c r="H124" s="238" t="s">
        <v>44</v>
      </c>
      <c r="I124" s="388"/>
      <c r="J124" s="389"/>
      <c r="K124" s="184"/>
    </row>
    <row r="126" spans="1:11" x14ac:dyDescent="0.2">
      <c r="A126" s="9" t="s">
        <v>49</v>
      </c>
    </row>
    <row r="127" spans="1:11" x14ac:dyDescent="0.2">
      <c r="A127" s="9" t="s">
        <v>48</v>
      </c>
    </row>
    <row r="128" spans="1:11" x14ac:dyDescent="0.2">
      <c r="A128" s="6" t="s">
        <v>67</v>
      </c>
    </row>
  </sheetData>
  <sheetProtection sheet="1" selectLockedCells="1"/>
  <mergeCells count="207">
    <mergeCell ref="B25:B31"/>
    <mergeCell ref="A25:A31"/>
    <mergeCell ref="D25:D27"/>
    <mergeCell ref="C32:C34"/>
    <mergeCell ref="D32:D34"/>
    <mergeCell ref="B32:B38"/>
    <mergeCell ref="A32:A38"/>
    <mergeCell ref="A39:A45"/>
    <mergeCell ref="B39:B45"/>
    <mergeCell ref="C39:C41"/>
    <mergeCell ref="D39:D41"/>
    <mergeCell ref="I121:J121"/>
    <mergeCell ref="I122:J122"/>
    <mergeCell ref="I123:J123"/>
    <mergeCell ref="I124:J124"/>
    <mergeCell ref="I116:J116"/>
    <mergeCell ref="I117:J117"/>
    <mergeCell ref="I118:J118"/>
    <mergeCell ref="I119:J119"/>
    <mergeCell ref="I120:J120"/>
    <mergeCell ref="I111:J111"/>
    <mergeCell ref="I112:J112"/>
    <mergeCell ref="I113:J113"/>
    <mergeCell ref="I114:J114"/>
    <mergeCell ref="I115:J115"/>
    <mergeCell ref="I106:J106"/>
    <mergeCell ref="I107:J107"/>
    <mergeCell ref="I108:J108"/>
    <mergeCell ref="I109:J109"/>
    <mergeCell ref="I110:J110"/>
    <mergeCell ref="I101:J101"/>
    <mergeCell ref="I102:J102"/>
    <mergeCell ref="D62:K62"/>
    <mergeCell ref="G74:H74"/>
    <mergeCell ref="I105:J105"/>
    <mergeCell ref="I96:J96"/>
    <mergeCell ref="I97:J97"/>
    <mergeCell ref="I98:J98"/>
    <mergeCell ref="I99:J99"/>
    <mergeCell ref="I100:J100"/>
    <mergeCell ref="I92:J92"/>
    <mergeCell ref="I93:J93"/>
    <mergeCell ref="I94:J94"/>
    <mergeCell ref="I95:J95"/>
    <mergeCell ref="I89:J89"/>
    <mergeCell ref="I90:J90"/>
    <mergeCell ref="I77:J77"/>
    <mergeCell ref="I78:J78"/>
    <mergeCell ref="I79:J79"/>
    <mergeCell ref="G72:H72"/>
    <mergeCell ref="I68:J68"/>
    <mergeCell ref="I91:J91"/>
    <mergeCell ref="I69:J69"/>
    <mergeCell ref="I88:J88"/>
    <mergeCell ref="G121:H121"/>
    <mergeCell ref="G123:H123"/>
    <mergeCell ref="I32:J32"/>
    <mergeCell ref="I34:J34"/>
    <mergeCell ref="I35:J35"/>
    <mergeCell ref="I36:J36"/>
    <mergeCell ref="I37:J37"/>
    <mergeCell ref="I38:J38"/>
    <mergeCell ref="I39:J39"/>
    <mergeCell ref="I41:J41"/>
    <mergeCell ref="I42:J42"/>
    <mergeCell ref="I43:J43"/>
    <mergeCell ref="I44:J44"/>
    <mergeCell ref="I45:J45"/>
    <mergeCell ref="I46:J46"/>
    <mergeCell ref="G107:H107"/>
    <mergeCell ref="G109:H109"/>
    <mergeCell ref="I57:J57"/>
    <mergeCell ref="I58:J58"/>
    <mergeCell ref="I86:J86"/>
    <mergeCell ref="I87:J87"/>
    <mergeCell ref="I80:J80"/>
    <mergeCell ref="I103:J103"/>
    <mergeCell ref="I104:J104"/>
    <mergeCell ref="G35:H35"/>
    <mergeCell ref="G37:H37"/>
    <mergeCell ref="E42:F44"/>
    <mergeCell ref="A53:A59"/>
    <mergeCell ref="A46:A52"/>
    <mergeCell ref="A63:C63"/>
    <mergeCell ref="D53:D55"/>
    <mergeCell ref="E59:F59"/>
    <mergeCell ref="I59:J59"/>
    <mergeCell ref="G42:H42"/>
    <mergeCell ref="G44:H44"/>
    <mergeCell ref="E49:F51"/>
    <mergeCell ref="G49:H49"/>
    <mergeCell ref="G51:H51"/>
    <mergeCell ref="E45:F45"/>
    <mergeCell ref="E38:F38"/>
    <mergeCell ref="E35:F37"/>
    <mergeCell ref="I47:J47"/>
    <mergeCell ref="I48:J48"/>
    <mergeCell ref="I49:J49"/>
    <mergeCell ref="I50:J50"/>
    <mergeCell ref="A62:C62"/>
    <mergeCell ref="I51:J51"/>
    <mergeCell ref="I54:J54"/>
    <mergeCell ref="G114:H114"/>
    <mergeCell ref="G116:H116"/>
    <mergeCell ref="G93:H93"/>
    <mergeCell ref="G95:H95"/>
    <mergeCell ref="E100:F102"/>
    <mergeCell ref="G100:H100"/>
    <mergeCell ref="G102:H102"/>
    <mergeCell ref="G79:H79"/>
    <mergeCell ref="G81:H81"/>
    <mergeCell ref="E86:F88"/>
    <mergeCell ref="G86:H86"/>
    <mergeCell ref="G88:H88"/>
    <mergeCell ref="E79:F81"/>
    <mergeCell ref="E114:F116"/>
    <mergeCell ref="I24:J24"/>
    <mergeCell ref="I25:J25"/>
    <mergeCell ref="I27:J27"/>
    <mergeCell ref="I28:J28"/>
    <mergeCell ref="I29:J29"/>
    <mergeCell ref="I30:J30"/>
    <mergeCell ref="I31:J31"/>
    <mergeCell ref="E28:F30"/>
    <mergeCell ref="G28:H28"/>
    <mergeCell ref="G30:H30"/>
    <mergeCell ref="E31:F31"/>
    <mergeCell ref="C24:F24"/>
    <mergeCell ref="G24:H24"/>
    <mergeCell ref="C25:C27"/>
    <mergeCell ref="I55:J55"/>
    <mergeCell ref="I56:J56"/>
    <mergeCell ref="I52:J52"/>
    <mergeCell ref="I53:J53"/>
    <mergeCell ref="E56:F58"/>
    <mergeCell ref="G56:H56"/>
    <mergeCell ref="G58:H58"/>
    <mergeCell ref="B46:B52"/>
    <mergeCell ref="C46:C48"/>
    <mergeCell ref="D46:D48"/>
    <mergeCell ref="E52:F52"/>
    <mergeCell ref="B53:B59"/>
    <mergeCell ref="C53:C55"/>
    <mergeCell ref="I84:J84"/>
    <mergeCell ref="I85:J85"/>
    <mergeCell ref="I76:J76"/>
    <mergeCell ref="E72:F74"/>
    <mergeCell ref="C68:F68"/>
    <mergeCell ref="G68:H68"/>
    <mergeCell ref="A64:C64"/>
    <mergeCell ref="D63:K63"/>
    <mergeCell ref="D64:K64"/>
    <mergeCell ref="A65:C65"/>
    <mergeCell ref="D65:F65"/>
    <mergeCell ref="H65:I65"/>
    <mergeCell ref="I70:J70"/>
    <mergeCell ref="I71:J71"/>
    <mergeCell ref="I72:J72"/>
    <mergeCell ref="I73:J73"/>
    <mergeCell ref="I74:J74"/>
    <mergeCell ref="I75:J75"/>
    <mergeCell ref="I81:J81"/>
    <mergeCell ref="I82:J82"/>
    <mergeCell ref="I83:J83"/>
    <mergeCell ref="A83:A89"/>
    <mergeCell ref="B83:B89"/>
    <mergeCell ref="C83:C85"/>
    <mergeCell ref="A69:A75"/>
    <mergeCell ref="B69:B75"/>
    <mergeCell ref="C69:C71"/>
    <mergeCell ref="D69:D71"/>
    <mergeCell ref="E75:F75"/>
    <mergeCell ref="A104:A110"/>
    <mergeCell ref="B104:B110"/>
    <mergeCell ref="C104:C106"/>
    <mergeCell ref="A90:A96"/>
    <mergeCell ref="B90:B96"/>
    <mergeCell ref="C90:C92"/>
    <mergeCell ref="D90:D92"/>
    <mergeCell ref="E96:F96"/>
    <mergeCell ref="E93:F95"/>
    <mergeCell ref="D104:D106"/>
    <mergeCell ref="E110:F110"/>
    <mergeCell ref="A97:A103"/>
    <mergeCell ref="B97:B103"/>
    <mergeCell ref="C97:C99"/>
    <mergeCell ref="D97:D99"/>
    <mergeCell ref="E103:F103"/>
    <mergeCell ref="E107:F109"/>
    <mergeCell ref="A76:A82"/>
    <mergeCell ref="B76:B82"/>
    <mergeCell ref="C76:C78"/>
    <mergeCell ref="D76:D78"/>
    <mergeCell ref="E82:F82"/>
    <mergeCell ref="A118:A124"/>
    <mergeCell ref="B118:B124"/>
    <mergeCell ref="C118:C120"/>
    <mergeCell ref="D118:D120"/>
    <mergeCell ref="E124:F124"/>
    <mergeCell ref="A111:A117"/>
    <mergeCell ref="B111:B117"/>
    <mergeCell ref="C111:C113"/>
    <mergeCell ref="D111:D113"/>
    <mergeCell ref="E117:F117"/>
    <mergeCell ref="E121:F123"/>
    <mergeCell ref="D83:D85"/>
    <mergeCell ref="E89:F89"/>
  </mergeCells>
  <phoneticPr fontId="1"/>
  <dataValidations count="1">
    <dataValidation type="list" allowBlank="1" showInputMessage="1" showErrorMessage="1" sqref="C121:C124 E39:E41 C28:C32 C114:C118 E111:E113 C107:C111 E104:E106 C100:C104 E97:E99 C93:C97 E90:E92 C86:C90 E83:E85 C79:C83 E76:E78 C72:C76 E69:E71 C69 C56:C59 E53:E55 C49:C53 E32:E34 E118:E120 E46:E48 E25:E27 C25 C35:C39 C42:C46">
      <formula1>$A$126:$A$127</formula1>
    </dataValidation>
  </dataValidations>
  <printOptions horizontalCentered="1"/>
  <pageMargins left="0.51181102362204722" right="0.59055118110236227" top="0.55118110236220474" bottom="0.55118110236220474" header="0.31496062992125984" footer="0.31496062992125984"/>
  <pageSetup paperSize="9" scale="76" orientation="portrait" r:id="rId1"/>
  <headerFooter alignWithMargins="0"/>
  <rowBreaks count="1" manualBreakCount="1">
    <brk id="66" max="10" man="1"/>
  </rowBreaks>
  <colBreaks count="1" manualBreakCount="1">
    <brk id="11" max="119"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0</xdr:col>
                    <xdr:colOff>114300</xdr:colOff>
                    <xdr:row>7</xdr:row>
                    <xdr:rowOff>165100</xdr:rowOff>
                  </from>
                  <to>
                    <xdr:col>0</xdr:col>
                    <xdr:colOff>336550</xdr:colOff>
                    <xdr:row>9</xdr:row>
                    <xdr:rowOff>50800</xdr:rowOff>
                  </to>
                </anchor>
              </controlPr>
            </control>
          </mc:Choice>
        </mc:AlternateContent>
        <mc:AlternateContent xmlns:mc="http://schemas.openxmlformats.org/markup-compatibility/2006">
          <mc:Choice Requires="x14">
            <control shapeId="3078" r:id="rId5" name="Check Box 6">
              <controlPr locked="0" defaultSize="0" autoFill="0" autoLine="0" autoPict="0">
                <anchor moveWithCells="1">
                  <from>
                    <xdr:col>0</xdr:col>
                    <xdr:colOff>114300</xdr:colOff>
                    <xdr:row>8</xdr:row>
                    <xdr:rowOff>165100</xdr:rowOff>
                  </from>
                  <to>
                    <xdr:col>0</xdr:col>
                    <xdr:colOff>336550</xdr:colOff>
                    <xdr:row>10</xdr:row>
                    <xdr:rowOff>50800</xdr:rowOff>
                  </to>
                </anchor>
              </controlPr>
            </control>
          </mc:Choice>
        </mc:AlternateContent>
        <mc:AlternateContent xmlns:mc="http://schemas.openxmlformats.org/markup-compatibility/2006">
          <mc:Choice Requires="x14">
            <control shapeId="3079" r:id="rId6" name="Check Box 7">
              <controlPr locked="0" defaultSize="0" autoFill="0" autoLine="0" autoPict="0">
                <anchor moveWithCells="1">
                  <from>
                    <xdr:col>0</xdr:col>
                    <xdr:colOff>114300</xdr:colOff>
                    <xdr:row>9</xdr:row>
                    <xdr:rowOff>165100</xdr:rowOff>
                  </from>
                  <to>
                    <xdr:col>0</xdr:col>
                    <xdr:colOff>336550</xdr:colOff>
                    <xdr:row>11</xdr:row>
                    <xdr:rowOff>50800</xdr:rowOff>
                  </to>
                </anchor>
              </controlPr>
            </control>
          </mc:Choice>
        </mc:AlternateContent>
        <mc:AlternateContent xmlns:mc="http://schemas.openxmlformats.org/markup-compatibility/2006">
          <mc:Choice Requires="x14">
            <control shapeId="3080" r:id="rId7" name="Check Box 8">
              <controlPr locked="0" defaultSize="0" autoFill="0" autoLine="0" autoPict="0">
                <anchor moveWithCells="1">
                  <from>
                    <xdr:col>0</xdr:col>
                    <xdr:colOff>114300</xdr:colOff>
                    <xdr:row>11</xdr:row>
                    <xdr:rowOff>190500</xdr:rowOff>
                  </from>
                  <to>
                    <xdr:col>0</xdr:col>
                    <xdr:colOff>317500</xdr:colOff>
                    <xdr:row>13</xdr:row>
                    <xdr:rowOff>50800</xdr:rowOff>
                  </to>
                </anchor>
              </controlPr>
            </control>
          </mc:Choice>
        </mc:AlternateContent>
        <mc:AlternateContent xmlns:mc="http://schemas.openxmlformats.org/markup-compatibility/2006">
          <mc:Choice Requires="x14">
            <control shapeId="3081" r:id="rId8" name="Check Box 9">
              <controlPr locked="0" defaultSize="0" autoFill="0" autoLine="0" autoPict="0">
                <anchor moveWithCells="1">
                  <from>
                    <xdr:col>0</xdr:col>
                    <xdr:colOff>114300</xdr:colOff>
                    <xdr:row>12</xdr:row>
                    <xdr:rowOff>165100</xdr:rowOff>
                  </from>
                  <to>
                    <xdr:col>0</xdr:col>
                    <xdr:colOff>336550</xdr:colOff>
                    <xdr:row>14</xdr:row>
                    <xdr:rowOff>50800</xdr:rowOff>
                  </to>
                </anchor>
              </controlPr>
            </control>
          </mc:Choice>
        </mc:AlternateContent>
        <mc:AlternateContent xmlns:mc="http://schemas.openxmlformats.org/markup-compatibility/2006">
          <mc:Choice Requires="x14">
            <control shapeId="3083" r:id="rId9" name="Check Box 11">
              <controlPr locked="0" defaultSize="0" autoFill="0" autoLine="0" autoPict="0">
                <anchor moveWithCells="1">
                  <from>
                    <xdr:col>0</xdr:col>
                    <xdr:colOff>114300</xdr:colOff>
                    <xdr:row>17</xdr:row>
                    <xdr:rowOff>152400</xdr:rowOff>
                  </from>
                  <to>
                    <xdr:col>0</xdr:col>
                    <xdr:colOff>336550</xdr:colOff>
                    <xdr:row>19</xdr:row>
                    <xdr:rowOff>50800</xdr:rowOff>
                  </to>
                </anchor>
              </controlPr>
            </control>
          </mc:Choice>
        </mc:AlternateContent>
        <mc:AlternateContent xmlns:mc="http://schemas.openxmlformats.org/markup-compatibility/2006">
          <mc:Choice Requires="x14">
            <control shapeId="3089" r:id="rId10" name="Check Box 17">
              <controlPr locked="0" defaultSize="0" autoFill="0" autoLine="0" autoPict="0">
                <anchor moveWithCells="1">
                  <from>
                    <xdr:col>0</xdr:col>
                    <xdr:colOff>114300</xdr:colOff>
                    <xdr:row>15</xdr:row>
                    <xdr:rowOff>0</xdr:rowOff>
                  </from>
                  <to>
                    <xdr:col>0</xdr:col>
                    <xdr:colOff>336550</xdr:colOff>
                    <xdr:row>16</xdr:row>
                    <xdr:rowOff>0</xdr:rowOff>
                  </to>
                </anchor>
              </controlPr>
            </control>
          </mc:Choice>
        </mc:AlternateContent>
        <mc:AlternateContent xmlns:mc="http://schemas.openxmlformats.org/markup-compatibility/2006">
          <mc:Choice Requires="x14">
            <control shapeId="3090" r:id="rId11" name="Check Box 18">
              <controlPr locked="0" defaultSize="0" autoFill="0" autoLine="0" autoPict="0">
                <anchor moveWithCells="1">
                  <from>
                    <xdr:col>0</xdr:col>
                    <xdr:colOff>114300</xdr:colOff>
                    <xdr:row>15</xdr:row>
                    <xdr:rowOff>133350</xdr:rowOff>
                  </from>
                  <to>
                    <xdr:col>0</xdr:col>
                    <xdr:colOff>336550</xdr:colOff>
                    <xdr:row>17</xdr:row>
                    <xdr:rowOff>50800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135"/>
  <sheetViews>
    <sheetView workbookViewId="0">
      <selection activeCell="B3" sqref="B3"/>
    </sheetView>
  </sheetViews>
  <sheetFormatPr defaultRowHeight="14" x14ac:dyDescent="0.2"/>
  <cols>
    <col min="1" max="1" width="5.90625" style="9" customWidth="1"/>
    <col min="2" max="11" width="5.6328125" style="9" customWidth="1"/>
    <col min="12" max="12" width="7.26953125" style="9" customWidth="1"/>
    <col min="13" max="15" width="7.7265625" style="9" customWidth="1"/>
    <col min="16" max="16" width="7.36328125" style="9" customWidth="1"/>
    <col min="17" max="23" width="7.7265625" style="9" customWidth="1"/>
    <col min="24" max="24" width="6.36328125" style="9" customWidth="1"/>
    <col min="25" max="27" width="5.6328125" style="9" customWidth="1"/>
    <col min="28" max="28" width="6" style="9" customWidth="1"/>
    <col min="29" max="31" width="5.6328125" style="9" customWidth="1"/>
    <col min="32" max="32" width="6.08984375" style="9" customWidth="1"/>
    <col min="33" max="36" width="5.6328125" style="9" customWidth="1"/>
    <col min="37" max="41" width="5.6328125" style="6" customWidth="1"/>
  </cols>
  <sheetData>
    <row r="1" spans="1:41" x14ac:dyDescent="0.2">
      <c r="A1" s="8" t="s">
        <v>99</v>
      </c>
    </row>
    <row r="2" spans="1:41" x14ac:dyDescent="0.2">
      <c r="A2" s="9">
        <v>1</v>
      </c>
      <c r="B2" s="9">
        <v>2</v>
      </c>
      <c r="C2" s="9">
        <v>3</v>
      </c>
      <c r="D2" s="9">
        <v>4</v>
      </c>
      <c r="E2" s="9">
        <v>5</v>
      </c>
      <c r="F2" s="9">
        <v>6</v>
      </c>
      <c r="G2" s="9">
        <v>7</v>
      </c>
      <c r="H2" s="9">
        <v>8</v>
      </c>
      <c r="I2" s="9">
        <v>9</v>
      </c>
      <c r="J2" s="9">
        <v>10</v>
      </c>
      <c r="K2" s="9">
        <v>11</v>
      </c>
      <c r="L2" s="9">
        <v>12</v>
      </c>
      <c r="M2" s="9">
        <v>13</v>
      </c>
      <c r="N2" s="9">
        <v>14</v>
      </c>
      <c r="O2" s="9">
        <v>15</v>
      </c>
      <c r="P2" s="9">
        <v>16</v>
      </c>
      <c r="Q2" s="9">
        <v>17</v>
      </c>
      <c r="R2" s="9">
        <v>18</v>
      </c>
      <c r="S2" s="9">
        <v>19</v>
      </c>
      <c r="T2" s="9">
        <v>20</v>
      </c>
      <c r="U2" s="9">
        <v>21</v>
      </c>
      <c r="V2" s="9">
        <v>22</v>
      </c>
      <c r="W2" s="9">
        <v>23</v>
      </c>
      <c r="X2" s="9">
        <v>24</v>
      </c>
      <c r="Y2" s="9">
        <v>25</v>
      </c>
      <c r="Z2" s="9">
        <v>26</v>
      </c>
      <c r="AA2" s="9">
        <v>27</v>
      </c>
      <c r="AB2" s="9">
        <v>28</v>
      </c>
      <c r="AC2" s="9">
        <v>29</v>
      </c>
      <c r="AD2" s="9">
        <v>30</v>
      </c>
      <c r="AE2" s="9">
        <v>31</v>
      </c>
      <c r="AF2" s="9">
        <v>32</v>
      </c>
      <c r="AG2" s="9">
        <v>33</v>
      </c>
      <c r="AH2" s="9">
        <v>34</v>
      </c>
      <c r="AI2" s="9">
        <v>35</v>
      </c>
      <c r="AJ2" s="60"/>
      <c r="AK2" s="58"/>
      <c r="AL2" s="58"/>
      <c r="AM2" s="58"/>
      <c r="AN2" s="58"/>
      <c r="AO2" s="58"/>
    </row>
    <row r="3" spans="1:41" x14ac:dyDescent="0.2">
      <c r="AJ3" s="60"/>
      <c r="AK3" s="58"/>
      <c r="AL3" s="58"/>
      <c r="AM3" s="58"/>
      <c r="AN3" s="58"/>
      <c r="AO3" s="58"/>
    </row>
    <row r="4" spans="1:41" x14ac:dyDescent="0.2">
      <c r="A4" s="60"/>
      <c r="B4" s="454" t="s">
        <v>56</v>
      </c>
      <c r="C4" s="455"/>
      <c r="D4" s="455"/>
      <c r="E4" s="463"/>
      <c r="F4" s="454" t="s">
        <v>113</v>
      </c>
      <c r="G4" s="455"/>
      <c r="H4" s="455"/>
      <c r="I4" s="455"/>
      <c r="J4" s="455"/>
      <c r="K4" s="456"/>
      <c r="L4" s="442" t="s">
        <v>90</v>
      </c>
      <c r="M4" s="443"/>
      <c r="N4" s="443"/>
      <c r="O4" s="443"/>
      <c r="P4" s="443"/>
      <c r="Q4" s="443"/>
      <c r="R4" s="443"/>
      <c r="S4" s="443"/>
      <c r="T4" s="443"/>
      <c r="U4" s="443"/>
      <c r="V4" s="443"/>
      <c r="W4" s="444"/>
      <c r="X4" s="442" t="s">
        <v>89</v>
      </c>
      <c r="Y4" s="443"/>
      <c r="Z4" s="443"/>
      <c r="AA4" s="443"/>
      <c r="AB4" s="443"/>
      <c r="AC4" s="443"/>
      <c r="AD4" s="443"/>
      <c r="AE4" s="443"/>
      <c r="AF4" s="443"/>
      <c r="AG4" s="443"/>
      <c r="AH4" s="443"/>
      <c r="AI4" s="444"/>
      <c r="AJ4" s="62">
        <v>120</v>
      </c>
      <c r="AK4" s="62" t="s">
        <v>85</v>
      </c>
      <c r="AL4" s="58"/>
      <c r="AM4" s="58"/>
      <c r="AN4" s="58"/>
      <c r="AO4" s="58"/>
    </row>
    <row r="5" spans="1:41" x14ac:dyDescent="0.2">
      <c r="A5" s="64"/>
      <c r="B5" s="454"/>
      <c r="C5" s="455"/>
      <c r="D5" s="455"/>
      <c r="E5" s="463"/>
      <c r="F5" s="457" t="s">
        <v>62</v>
      </c>
      <c r="G5" s="458"/>
      <c r="H5" s="458" t="s">
        <v>64</v>
      </c>
      <c r="I5" s="458"/>
      <c r="J5" s="458" t="s">
        <v>65</v>
      </c>
      <c r="K5" s="459"/>
      <c r="L5" s="442" t="s">
        <v>70</v>
      </c>
      <c r="M5" s="443"/>
      <c r="N5" s="443"/>
      <c r="O5" s="444"/>
      <c r="P5" s="436" t="s">
        <v>71</v>
      </c>
      <c r="Q5" s="437"/>
      <c r="R5" s="437"/>
      <c r="S5" s="438"/>
      <c r="T5" s="436" t="s">
        <v>72</v>
      </c>
      <c r="U5" s="437"/>
      <c r="V5" s="437"/>
      <c r="W5" s="438"/>
      <c r="X5" s="445" t="s">
        <v>70</v>
      </c>
      <c r="Y5" s="446"/>
      <c r="Z5" s="446"/>
      <c r="AA5" s="447"/>
      <c r="AB5" s="448" t="s">
        <v>71</v>
      </c>
      <c r="AC5" s="449"/>
      <c r="AD5" s="449"/>
      <c r="AE5" s="450"/>
      <c r="AF5" s="448" t="s">
        <v>72</v>
      </c>
      <c r="AG5" s="449"/>
      <c r="AH5" s="449"/>
      <c r="AI5" s="450"/>
      <c r="AJ5" s="65"/>
      <c r="AK5" s="66"/>
      <c r="AL5" s="66"/>
      <c r="AM5" s="66"/>
      <c r="AN5" s="66"/>
      <c r="AO5" s="66"/>
    </row>
    <row r="6" spans="1:41" x14ac:dyDescent="0.2">
      <c r="A6" s="65"/>
      <c r="B6" s="195" t="s">
        <v>57</v>
      </c>
      <c r="C6" s="198" t="s">
        <v>63</v>
      </c>
      <c r="D6" s="196" t="s">
        <v>106</v>
      </c>
      <c r="E6" s="67" t="s">
        <v>59</v>
      </c>
      <c r="F6" s="68" t="s">
        <v>57</v>
      </c>
      <c r="G6" s="69" t="s">
        <v>58</v>
      </c>
      <c r="H6" s="69" t="s">
        <v>57</v>
      </c>
      <c r="I6" s="69" t="s">
        <v>58</v>
      </c>
      <c r="J6" s="69" t="s">
        <v>57</v>
      </c>
      <c r="K6" s="70" t="s">
        <v>58</v>
      </c>
      <c r="L6" s="147">
        <v>2</v>
      </c>
      <c r="M6" s="71">
        <v>3</v>
      </c>
      <c r="N6" s="72">
        <v>4</v>
      </c>
      <c r="O6" s="71">
        <v>5</v>
      </c>
      <c r="P6" s="71">
        <v>2</v>
      </c>
      <c r="Q6" s="72">
        <v>3</v>
      </c>
      <c r="R6" s="72">
        <v>4</v>
      </c>
      <c r="S6" s="72">
        <v>5</v>
      </c>
      <c r="T6" s="72">
        <v>2</v>
      </c>
      <c r="U6" s="72">
        <v>3</v>
      </c>
      <c r="V6" s="72">
        <v>4</v>
      </c>
      <c r="W6" s="72">
        <v>5</v>
      </c>
      <c r="X6" s="68">
        <v>2</v>
      </c>
      <c r="Y6" s="161">
        <v>3</v>
      </c>
      <c r="Z6" s="69">
        <v>4</v>
      </c>
      <c r="AA6" s="199">
        <v>5</v>
      </c>
      <c r="AB6" s="194">
        <v>2</v>
      </c>
      <c r="AC6" s="68">
        <v>3</v>
      </c>
      <c r="AD6" s="69">
        <v>4</v>
      </c>
      <c r="AE6" s="70">
        <v>5</v>
      </c>
      <c r="AF6" s="155">
        <v>2</v>
      </c>
      <c r="AG6" s="68">
        <v>3</v>
      </c>
      <c r="AH6" s="69">
        <v>4</v>
      </c>
      <c r="AI6" s="70">
        <v>5</v>
      </c>
      <c r="AJ6" s="65"/>
      <c r="AK6" s="66"/>
      <c r="AL6" s="66"/>
      <c r="AM6" s="66"/>
      <c r="AN6" s="66"/>
      <c r="AO6" s="66"/>
    </row>
    <row r="7" spans="1:41" ht="13" x14ac:dyDescent="0.2">
      <c r="A7"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7" s="68" t="s">
        <v>61</v>
      </c>
      <c r="C7" s="69" t="s">
        <v>61</v>
      </c>
      <c r="D7" s="69"/>
      <c r="E7" s="73"/>
      <c r="F7" s="68"/>
      <c r="G7" s="69"/>
      <c r="H7" s="69"/>
      <c r="I7" s="69"/>
      <c r="J7" s="69"/>
      <c r="K7" s="70"/>
      <c r="L7" s="147">
        <v>11519.267802000002</v>
      </c>
      <c r="M7" s="74">
        <v>11519.267802000002</v>
      </c>
      <c r="N7" s="74">
        <v>8833.7059999999983</v>
      </c>
      <c r="O7" s="74">
        <v>8993.522089799997</v>
      </c>
      <c r="P7" s="74">
        <v>9449.7540000000008</v>
      </c>
      <c r="Q7" s="74">
        <v>9449.7540000000008</v>
      </c>
      <c r="R7" s="74">
        <v>7020</v>
      </c>
      <c r="S7" s="74">
        <v>6194.4239999999991</v>
      </c>
      <c r="T7" s="74">
        <v>8138.8010131999981</v>
      </c>
      <c r="U7" s="74">
        <v>8138.8010131999981</v>
      </c>
      <c r="V7" s="74">
        <v>5966.5764999999992</v>
      </c>
      <c r="W7" s="74">
        <v>5461.2315506000014</v>
      </c>
      <c r="X7" s="220">
        <f t="shared" ref="X7:X38" si="0">L7/$AJ$4</f>
        <v>95.993898350000023</v>
      </c>
      <c r="Y7" s="162">
        <f t="shared" ref="Y7:Y38" si="1">M7/$AJ$4</f>
        <v>95.993898350000023</v>
      </c>
      <c r="Z7" s="76">
        <f t="shared" ref="Z7:Z38" si="2">N7/$AJ$4</f>
        <v>73.61421666666665</v>
      </c>
      <c r="AA7" s="77">
        <f t="shared" ref="AA7:AA38" si="3">O7/$AJ$4</f>
        <v>74.946017414999972</v>
      </c>
      <c r="AB7" s="221">
        <f t="shared" ref="AB7:AB38" si="4">P7/$AJ$4</f>
        <v>78.747950000000003</v>
      </c>
      <c r="AC7" s="75">
        <f t="shared" ref="AC7:AC38" si="5">Q7/$AJ$4</f>
        <v>78.747950000000003</v>
      </c>
      <c r="AD7" s="76">
        <f t="shared" ref="AD7:AD38" si="6">R7/$AJ$4</f>
        <v>58.5</v>
      </c>
      <c r="AE7" s="77">
        <f t="shared" ref="AE7:AE38" si="7">S7/$AJ$4</f>
        <v>51.62019999999999</v>
      </c>
      <c r="AF7" s="221">
        <f t="shared" ref="AF7:AF38" si="8">T7/$AJ$4</f>
        <v>67.823341776666652</v>
      </c>
      <c r="AG7" s="75">
        <f t="shared" ref="AG7:AG38" si="9">U7/$AJ$4</f>
        <v>67.823341776666652</v>
      </c>
      <c r="AH7" s="76">
        <f t="shared" ref="AH7:AH38" si="10">V7/$AJ$4</f>
        <v>49.721470833333328</v>
      </c>
      <c r="AI7" s="77">
        <f t="shared" ref="AI7:AI38" si="11">W7/$AJ$4</f>
        <v>45.51026292166668</v>
      </c>
      <c r="AJ7" s="65"/>
      <c r="AK7" s="66"/>
      <c r="AL7" s="66"/>
      <c r="AM7" s="66"/>
      <c r="AN7" s="66"/>
      <c r="AO7" s="66"/>
    </row>
    <row r="8" spans="1:41" ht="13" x14ac:dyDescent="0.2">
      <c r="A8"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8" s="68" t="s">
        <v>61</v>
      </c>
      <c r="C8" s="69"/>
      <c r="D8" s="69" t="s">
        <v>61</v>
      </c>
      <c r="E8" s="73"/>
      <c r="F8" s="68"/>
      <c r="G8" s="69"/>
      <c r="H8" s="69"/>
      <c r="I8" s="69"/>
      <c r="J8" s="69"/>
      <c r="K8" s="70"/>
      <c r="L8" s="147">
        <v>8544.7116203999976</v>
      </c>
      <c r="M8" s="74">
        <v>8544.7116203999976</v>
      </c>
      <c r="N8" s="74">
        <v>6575.1211999999941</v>
      </c>
      <c r="O8" s="74">
        <v>6591.9688719599944</v>
      </c>
      <c r="P8" s="74">
        <v>6942.9403999999995</v>
      </c>
      <c r="Q8" s="74">
        <v>6942.9403999999995</v>
      </c>
      <c r="R8" s="74">
        <v>5162</v>
      </c>
      <c r="S8" s="74">
        <v>4621.8127999999997</v>
      </c>
      <c r="T8" s="74">
        <v>5982.3959570400002</v>
      </c>
      <c r="U8" s="74">
        <v>5982.3959570400002</v>
      </c>
      <c r="V8" s="74">
        <v>4391.1782999999996</v>
      </c>
      <c r="W8" s="74">
        <v>4074.2509753199993</v>
      </c>
      <c r="X8" s="220">
        <f t="shared" si="0"/>
        <v>71.205930169999974</v>
      </c>
      <c r="Y8" s="162">
        <f t="shared" si="1"/>
        <v>71.205930169999974</v>
      </c>
      <c r="Z8" s="76">
        <f t="shared" si="2"/>
        <v>54.792676666666615</v>
      </c>
      <c r="AA8" s="77">
        <f t="shared" si="3"/>
        <v>54.933073932999953</v>
      </c>
      <c r="AB8" s="221">
        <f t="shared" si="4"/>
        <v>57.857836666666664</v>
      </c>
      <c r="AC8" s="75">
        <f t="shared" si="5"/>
        <v>57.857836666666664</v>
      </c>
      <c r="AD8" s="76">
        <f t="shared" si="6"/>
        <v>43.016666666666666</v>
      </c>
      <c r="AE8" s="77">
        <f t="shared" si="7"/>
        <v>38.515106666666661</v>
      </c>
      <c r="AF8" s="221">
        <f t="shared" si="8"/>
        <v>49.853299642000003</v>
      </c>
      <c r="AG8" s="75">
        <f t="shared" si="9"/>
        <v>49.853299642000003</v>
      </c>
      <c r="AH8" s="76">
        <f t="shared" si="10"/>
        <v>36.593152499999995</v>
      </c>
      <c r="AI8" s="77">
        <f t="shared" si="11"/>
        <v>33.952091460999995</v>
      </c>
      <c r="AJ8" s="65"/>
      <c r="AK8" s="66"/>
      <c r="AL8" s="66"/>
      <c r="AM8" s="66"/>
      <c r="AN8" s="66"/>
      <c r="AO8" s="66"/>
    </row>
    <row r="9" spans="1:41" ht="13" x14ac:dyDescent="0.2">
      <c r="A9"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9" s="68" t="s">
        <v>60</v>
      </c>
      <c r="C9" s="69"/>
      <c r="D9" s="69"/>
      <c r="E9" s="73" t="s">
        <v>61</v>
      </c>
      <c r="F9" s="68"/>
      <c r="G9" s="69"/>
      <c r="H9" s="69"/>
      <c r="I9" s="69"/>
      <c r="J9" s="69"/>
      <c r="K9" s="70"/>
      <c r="L9" s="147">
        <v>8608.7494283999986</v>
      </c>
      <c r="M9" s="74">
        <v>8608.7494283999986</v>
      </c>
      <c r="N9" s="74">
        <v>6623.7451999999976</v>
      </c>
      <c r="O9" s="74">
        <v>6643.6707711600029</v>
      </c>
      <c r="P9" s="74">
        <v>6996.9084000000003</v>
      </c>
      <c r="Q9" s="74">
        <v>6996.9084000000003</v>
      </c>
      <c r="R9" s="74">
        <v>5202</v>
      </c>
      <c r="S9" s="74">
        <v>4655.6687999999995</v>
      </c>
      <c r="T9" s="74">
        <v>6028.8201778399998</v>
      </c>
      <c r="U9" s="74">
        <v>6028.8201778399998</v>
      </c>
      <c r="V9" s="74">
        <v>4425.0943000000007</v>
      </c>
      <c r="W9" s="74">
        <v>4104.1106217200031</v>
      </c>
      <c r="X9" s="220">
        <f t="shared" si="0"/>
        <v>71.739578569999992</v>
      </c>
      <c r="Y9" s="162">
        <f t="shared" si="1"/>
        <v>71.739578569999992</v>
      </c>
      <c r="Z9" s="76">
        <f t="shared" si="2"/>
        <v>55.197876666666644</v>
      </c>
      <c r="AA9" s="77">
        <f t="shared" si="3"/>
        <v>55.363923093000025</v>
      </c>
      <c r="AB9" s="221">
        <f t="shared" si="4"/>
        <v>58.307570000000005</v>
      </c>
      <c r="AC9" s="75">
        <f t="shared" si="5"/>
        <v>58.307570000000005</v>
      </c>
      <c r="AD9" s="76">
        <f t="shared" si="6"/>
        <v>43.35</v>
      </c>
      <c r="AE9" s="77">
        <f t="shared" si="7"/>
        <v>38.797239999999995</v>
      </c>
      <c r="AF9" s="221">
        <f t="shared" si="8"/>
        <v>50.240168148666662</v>
      </c>
      <c r="AG9" s="75">
        <f t="shared" si="9"/>
        <v>50.240168148666662</v>
      </c>
      <c r="AH9" s="76">
        <f t="shared" si="10"/>
        <v>36.875785833333339</v>
      </c>
      <c r="AI9" s="77">
        <f t="shared" si="11"/>
        <v>34.200921847666692</v>
      </c>
      <c r="AJ9" s="65"/>
      <c r="AK9" s="66"/>
      <c r="AL9" s="66"/>
      <c r="AM9" s="66"/>
      <c r="AN9" s="66"/>
      <c r="AO9" s="66"/>
    </row>
    <row r="10" spans="1:41" ht="13" x14ac:dyDescent="0.2">
      <c r="A10"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10" s="68" t="s">
        <v>60</v>
      </c>
      <c r="C10" s="69" t="s">
        <v>61</v>
      </c>
      <c r="D10" s="69" t="s">
        <v>61</v>
      </c>
      <c r="E10" s="73"/>
      <c r="F10" s="68"/>
      <c r="G10" s="69"/>
      <c r="H10" s="69"/>
      <c r="I10" s="69"/>
      <c r="J10" s="69"/>
      <c r="K10" s="70"/>
      <c r="L10" s="147">
        <v>12729.582373200006</v>
      </c>
      <c r="M10" s="74">
        <v>12729.582373200006</v>
      </c>
      <c r="N10" s="74">
        <v>9752.6995999999999</v>
      </c>
      <c r="O10" s="74">
        <v>9970.6879846800002</v>
      </c>
      <c r="P10" s="74">
        <v>10469.749200000006</v>
      </c>
      <c r="Q10" s="74">
        <v>10469.749200000006</v>
      </c>
      <c r="R10" s="74">
        <v>7776</v>
      </c>
      <c r="S10" s="74">
        <v>6834.3024000000005</v>
      </c>
      <c r="T10" s="74">
        <v>9016.2187863200052</v>
      </c>
      <c r="U10" s="74">
        <v>9016.2187863200052</v>
      </c>
      <c r="V10" s="74">
        <v>6607.5889000000025</v>
      </c>
      <c r="W10" s="74">
        <v>6025.5788675600015</v>
      </c>
      <c r="X10" s="220">
        <f t="shared" si="0"/>
        <v>106.07985311000006</v>
      </c>
      <c r="Y10" s="162">
        <f t="shared" si="1"/>
        <v>106.07985311000006</v>
      </c>
      <c r="Z10" s="76">
        <f t="shared" si="2"/>
        <v>81.272496666666669</v>
      </c>
      <c r="AA10" s="77">
        <f t="shared" si="3"/>
        <v>83.089066539000001</v>
      </c>
      <c r="AB10" s="221">
        <f t="shared" si="4"/>
        <v>87.247910000000047</v>
      </c>
      <c r="AC10" s="75">
        <f t="shared" si="5"/>
        <v>87.247910000000047</v>
      </c>
      <c r="AD10" s="76">
        <f t="shared" si="6"/>
        <v>64.8</v>
      </c>
      <c r="AE10" s="77">
        <f t="shared" si="7"/>
        <v>56.952520000000007</v>
      </c>
      <c r="AF10" s="221">
        <f t="shared" si="8"/>
        <v>75.135156552666714</v>
      </c>
      <c r="AG10" s="75">
        <f t="shared" si="9"/>
        <v>75.135156552666714</v>
      </c>
      <c r="AH10" s="76">
        <f t="shared" si="10"/>
        <v>55.063240833333353</v>
      </c>
      <c r="AI10" s="77">
        <f t="shared" si="11"/>
        <v>50.213157229666677</v>
      </c>
      <c r="AJ10" s="65"/>
      <c r="AK10" s="66"/>
      <c r="AL10" s="66"/>
      <c r="AM10" s="66"/>
      <c r="AN10" s="66"/>
      <c r="AO10" s="66"/>
    </row>
    <row r="11" spans="1:41" ht="13" x14ac:dyDescent="0.2">
      <c r="A11"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11" s="68" t="s">
        <v>60</v>
      </c>
      <c r="C11" s="69" t="s">
        <v>61</v>
      </c>
      <c r="D11" s="69"/>
      <c r="E11" s="73" t="s">
        <v>61</v>
      </c>
      <c r="F11" s="68"/>
      <c r="G11" s="69"/>
      <c r="H11" s="69"/>
      <c r="I11" s="69"/>
      <c r="J11" s="69"/>
      <c r="K11" s="70"/>
      <c r="L11" s="147">
        <v>12843.249482400002</v>
      </c>
      <c r="M11" s="74">
        <v>12843.249482400002</v>
      </c>
      <c r="N11" s="74">
        <v>9839.0072</v>
      </c>
      <c r="O11" s="74">
        <v>10062.458855760004</v>
      </c>
      <c r="P11" s="74">
        <v>10565.542400000006</v>
      </c>
      <c r="Q11" s="74">
        <v>10565.542400000006</v>
      </c>
      <c r="R11" s="74">
        <v>7847</v>
      </c>
      <c r="S11" s="74">
        <v>6894.3967999999986</v>
      </c>
      <c r="T11" s="74">
        <v>9098.6217782400017</v>
      </c>
      <c r="U11" s="74">
        <v>9098.6217782400017</v>
      </c>
      <c r="V11" s="74">
        <v>6667.7898000000023</v>
      </c>
      <c r="W11" s="74">
        <v>6078.5797399200019</v>
      </c>
      <c r="X11" s="220">
        <f t="shared" si="0"/>
        <v>107.02707902000002</v>
      </c>
      <c r="Y11" s="162">
        <f t="shared" si="1"/>
        <v>107.02707902000002</v>
      </c>
      <c r="Z11" s="76">
        <f t="shared" si="2"/>
        <v>81.991726666666665</v>
      </c>
      <c r="AA11" s="77">
        <f t="shared" si="3"/>
        <v>83.853823798000036</v>
      </c>
      <c r="AB11" s="221">
        <f t="shared" si="4"/>
        <v>88.046186666666713</v>
      </c>
      <c r="AC11" s="75">
        <f t="shared" si="5"/>
        <v>88.046186666666713</v>
      </c>
      <c r="AD11" s="76">
        <f t="shared" si="6"/>
        <v>65.391666666666666</v>
      </c>
      <c r="AE11" s="77">
        <f t="shared" si="7"/>
        <v>57.453306666666656</v>
      </c>
      <c r="AF11" s="221">
        <f t="shared" si="8"/>
        <v>75.821848152000015</v>
      </c>
      <c r="AG11" s="75">
        <f t="shared" si="9"/>
        <v>75.821848152000015</v>
      </c>
      <c r="AH11" s="76">
        <f t="shared" si="10"/>
        <v>55.56491500000002</v>
      </c>
      <c r="AI11" s="77">
        <f t="shared" si="11"/>
        <v>50.654831166000015</v>
      </c>
      <c r="AJ11" s="65"/>
      <c r="AK11" s="66"/>
      <c r="AL11" s="66"/>
      <c r="AM11" s="66"/>
      <c r="AN11" s="66"/>
      <c r="AO11" s="66"/>
    </row>
    <row r="12" spans="1:41" ht="13" x14ac:dyDescent="0.2">
      <c r="A12"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12" s="68" t="s">
        <v>60</v>
      </c>
      <c r="C12" s="69"/>
      <c r="D12" s="69" t="s">
        <v>61</v>
      </c>
      <c r="E12" s="73" t="s">
        <v>61</v>
      </c>
      <c r="F12" s="68"/>
      <c r="G12" s="69"/>
      <c r="H12" s="69"/>
      <c r="I12" s="69"/>
      <c r="J12" s="69"/>
      <c r="K12" s="70"/>
      <c r="L12" s="147">
        <v>9779.0403696000067</v>
      </c>
      <c r="M12" s="74">
        <v>9779.0403696000067</v>
      </c>
      <c r="N12" s="74">
        <v>7512.3487999999998</v>
      </c>
      <c r="O12" s="74">
        <v>7588.5229790400044</v>
      </c>
      <c r="P12" s="74">
        <v>7983.1736000000019</v>
      </c>
      <c r="Q12" s="74">
        <v>7983.1736000000019</v>
      </c>
      <c r="R12" s="74">
        <v>5933</v>
      </c>
      <c r="S12" s="74">
        <v>5274.387200000001</v>
      </c>
      <c r="T12" s="74">
        <v>6877.2228129600044</v>
      </c>
      <c r="U12" s="74">
        <v>6877.2228129600044</v>
      </c>
      <c r="V12" s="74">
        <v>5044.9092000000019</v>
      </c>
      <c r="W12" s="74">
        <v>4649.7956596800032</v>
      </c>
      <c r="X12" s="220">
        <f t="shared" si="0"/>
        <v>81.49200308000006</v>
      </c>
      <c r="Y12" s="162">
        <f t="shared" si="1"/>
        <v>81.49200308000006</v>
      </c>
      <c r="Z12" s="76">
        <f t="shared" si="2"/>
        <v>62.602906666666662</v>
      </c>
      <c r="AA12" s="77">
        <f t="shared" si="3"/>
        <v>63.237691492000039</v>
      </c>
      <c r="AB12" s="221">
        <f t="shared" si="4"/>
        <v>66.526446666666686</v>
      </c>
      <c r="AC12" s="75">
        <f t="shared" si="5"/>
        <v>66.526446666666686</v>
      </c>
      <c r="AD12" s="76">
        <f t="shared" si="6"/>
        <v>49.44166666666667</v>
      </c>
      <c r="AE12" s="77">
        <f t="shared" si="7"/>
        <v>43.953226666666673</v>
      </c>
      <c r="AF12" s="221">
        <f t="shared" si="8"/>
        <v>57.310190108000036</v>
      </c>
      <c r="AG12" s="75">
        <f t="shared" si="9"/>
        <v>57.310190108000036</v>
      </c>
      <c r="AH12" s="76">
        <f t="shared" si="10"/>
        <v>42.040910000000018</v>
      </c>
      <c r="AI12" s="77">
        <f t="shared" si="11"/>
        <v>38.748297164000029</v>
      </c>
      <c r="AJ12" s="65"/>
      <c r="AK12" s="66"/>
      <c r="AL12" s="66"/>
      <c r="AM12" s="66"/>
      <c r="AN12" s="66"/>
      <c r="AO12" s="66"/>
    </row>
    <row r="13" spans="1:41" ht="13.5" thickBot="1" x14ac:dyDescent="0.25">
      <c r="A13"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13" s="80" t="s">
        <v>66</v>
      </c>
      <c r="C13" s="81" t="s">
        <v>61</v>
      </c>
      <c r="D13" s="81" t="s">
        <v>61</v>
      </c>
      <c r="E13" s="82" t="s">
        <v>61</v>
      </c>
      <c r="F13" s="80"/>
      <c r="G13" s="81"/>
      <c r="H13" s="81"/>
      <c r="I13" s="81"/>
      <c r="J13" s="81"/>
      <c r="K13" s="83"/>
      <c r="L13" s="208">
        <v>14085.582957600003</v>
      </c>
      <c r="M13" s="84">
        <v>14085.582957600003</v>
      </c>
      <c r="N13" s="84">
        <v>10782.3128</v>
      </c>
      <c r="O13" s="84">
        <v>11065.47570024</v>
      </c>
      <c r="P13" s="84">
        <v>11612.521600000004</v>
      </c>
      <c r="Q13" s="84">
        <v>11612.521600000004</v>
      </c>
      <c r="R13" s="84">
        <v>8623</v>
      </c>
      <c r="S13" s="84">
        <v>7551.2031999999999</v>
      </c>
      <c r="T13" s="84">
        <v>9999.2516617600013</v>
      </c>
      <c r="U13" s="84">
        <v>9999.2516617600013</v>
      </c>
      <c r="V13" s="84">
        <v>7325.7602000000006</v>
      </c>
      <c r="W13" s="84">
        <v>6657.8568800800022</v>
      </c>
      <c r="X13" s="222">
        <f t="shared" si="0"/>
        <v>117.37985798000003</v>
      </c>
      <c r="Y13" s="163">
        <f t="shared" si="1"/>
        <v>117.37985798000003</v>
      </c>
      <c r="Z13" s="86">
        <f t="shared" si="2"/>
        <v>89.852606666666659</v>
      </c>
      <c r="AA13" s="87">
        <f t="shared" si="3"/>
        <v>92.212297501999998</v>
      </c>
      <c r="AB13" s="223">
        <f t="shared" si="4"/>
        <v>96.771013333333357</v>
      </c>
      <c r="AC13" s="85">
        <f t="shared" si="5"/>
        <v>96.771013333333357</v>
      </c>
      <c r="AD13" s="86">
        <f t="shared" si="6"/>
        <v>71.858333333333334</v>
      </c>
      <c r="AE13" s="87">
        <f t="shared" si="7"/>
        <v>62.926693333333333</v>
      </c>
      <c r="AF13" s="223">
        <f t="shared" si="8"/>
        <v>83.327097181333343</v>
      </c>
      <c r="AG13" s="85">
        <f t="shared" si="9"/>
        <v>83.327097181333343</v>
      </c>
      <c r="AH13" s="86">
        <f t="shared" si="10"/>
        <v>61.048001666666671</v>
      </c>
      <c r="AI13" s="87">
        <f t="shared" si="11"/>
        <v>55.482140667333354</v>
      </c>
      <c r="AJ13" s="65"/>
      <c r="AK13" s="66"/>
      <c r="AL13" s="66"/>
      <c r="AM13" s="66"/>
      <c r="AN13" s="66"/>
      <c r="AO13" s="66"/>
    </row>
    <row r="14" spans="1:41" ht="13.5" thickTop="1" x14ac:dyDescent="0.2">
      <c r="A14"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14" s="88" t="s">
        <v>60</v>
      </c>
      <c r="C14" s="89" t="s">
        <v>61</v>
      </c>
      <c r="D14" s="89"/>
      <c r="E14" s="90"/>
      <c r="F14" s="88" t="s">
        <v>61</v>
      </c>
      <c r="G14" s="89"/>
      <c r="H14" s="89"/>
      <c r="I14" s="89"/>
      <c r="J14" s="89"/>
      <c r="K14" s="91"/>
      <c r="L14" s="211">
        <v>12388</v>
      </c>
      <c r="M14" s="92">
        <f t="shared" ref="M14:O20" si="12">ROUNDDOWN(AVERAGE(M7,M21),0)</f>
        <v>12388</v>
      </c>
      <c r="N14" s="92">
        <f t="shared" si="12"/>
        <v>9493</v>
      </c>
      <c r="O14" s="92">
        <f t="shared" si="12"/>
        <v>9695</v>
      </c>
      <c r="P14" s="92">
        <v>10572.288400000005</v>
      </c>
      <c r="Q14" s="92">
        <v>10572.288400000005</v>
      </c>
      <c r="R14" s="92">
        <v>7852</v>
      </c>
      <c r="S14" s="92">
        <v>6898.6287999999986</v>
      </c>
      <c r="T14" s="92">
        <v>9104.4248058400044</v>
      </c>
      <c r="U14" s="92">
        <v>9104.4248058400044</v>
      </c>
      <c r="V14" s="92">
        <v>6672.029300000002</v>
      </c>
      <c r="W14" s="92">
        <v>6082.3121957200019</v>
      </c>
      <c r="X14" s="224">
        <f t="shared" si="0"/>
        <v>103.23333333333333</v>
      </c>
      <c r="Y14" s="164">
        <f t="shared" si="1"/>
        <v>103.23333333333333</v>
      </c>
      <c r="Z14" s="94">
        <f t="shared" si="2"/>
        <v>79.108333333333334</v>
      </c>
      <c r="AA14" s="95">
        <f t="shared" si="3"/>
        <v>80.791666666666671</v>
      </c>
      <c r="AB14" s="225">
        <f t="shared" si="4"/>
        <v>88.10240333333337</v>
      </c>
      <c r="AC14" s="93">
        <f t="shared" si="5"/>
        <v>88.10240333333337</v>
      </c>
      <c r="AD14" s="94">
        <f t="shared" si="6"/>
        <v>65.433333333333337</v>
      </c>
      <c r="AE14" s="95">
        <f t="shared" si="7"/>
        <v>57.488573333333321</v>
      </c>
      <c r="AF14" s="225">
        <f t="shared" si="8"/>
        <v>75.870206715333367</v>
      </c>
      <c r="AG14" s="93">
        <f t="shared" si="9"/>
        <v>75.870206715333367</v>
      </c>
      <c r="AH14" s="94">
        <f t="shared" si="10"/>
        <v>55.600244166666684</v>
      </c>
      <c r="AI14" s="95">
        <f t="shared" si="11"/>
        <v>50.685934964333349</v>
      </c>
      <c r="AJ14" s="65"/>
      <c r="AK14" s="66"/>
      <c r="AL14" s="66"/>
      <c r="AM14" s="66"/>
      <c r="AN14" s="66"/>
      <c r="AO14" s="66"/>
    </row>
    <row r="15" spans="1:41" ht="13" x14ac:dyDescent="0.2">
      <c r="A15"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15" s="68" t="s">
        <v>60</v>
      </c>
      <c r="C15" s="69"/>
      <c r="D15" s="69" t="s">
        <v>61</v>
      </c>
      <c r="E15" s="73"/>
      <c r="F15" s="68" t="s">
        <v>61</v>
      </c>
      <c r="G15" s="69"/>
      <c r="H15" s="69"/>
      <c r="I15" s="69"/>
      <c r="J15" s="69"/>
      <c r="K15" s="70"/>
      <c r="L15" s="147">
        <v>8674</v>
      </c>
      <c r="M15" s="74">
        <f t="shared" si="12"/>
        <v>8674</v>
      </c>
      <c r="N15" s="74">
        <f t="shared" si="12"/>
        <v>6673</v>
      </c>
      <c r="O15" s="74">
        <f t="shared" si="12"/>
        <v>6696</v>
      </c>
      <c r="P15" s="74">
        <v>8223.3312000000005</v>
      </c>
      <c r="Q15" s="74">
        <v>8223.3312000000005</v>
      </c>
      <c r="R15" s="74">
        <v>6111</v>
      </c>
      <c r="S15" s="74">
        <v>5425.0463999999993</v>
      </c>
      <c r="T15" s="74">
        <v>7083.8105955200008</v>
      </c>
      <c r="U15" s="74">
        <v>7083.8105955200008</v>
      </c>
      <c r="V15" s="74">
        <v>5195.8353999999999</v>
      </c>
      <c r="W15" s="74">
        <v>4782.6710861600004</v>
      </c>
      <c r="X15" s="220">
        <f t="shared" si="0"/>
        <v>72.283333333333331</v>
      </c>
      <c r="Y15" s="162">
        <f t="shared" si="1"/>
        <v>72.283333333333331</v>
      </c>
      <c r="Z15" s="76">
        <f t="shared" si="2"/>
        <v>55.608333333333334</v>
      </c>
      <c r="AA15" s="77">
        <f t="shared" si="3"/>
        <v>55.8</v>
      </c>
      <c r="AB15" s="221">
        <f t="shared" si="4"/>
        <v>68.527760000000001</v>
      </c>
      <c r="AC15" s="75">
        <f t="shared" si="5"/>
        <v>68.527760000000001</v>
      </c>
      <c r="AD15" s="76">
        <f t="shared" si="6"/>
        <v>50.924999999999997</v>
      </c>
      <c r="AE15" s="77">
        <f t="shared" si="7"/>
        <v>45.208719999999992</v>
      </c>
      <c r="AF15" s="221">
        <f t="shared" si="8"/>
        <v>59.031754962666675</v>
      </c>
      <c r="AG15" s="75">
        <f t="shared" si="9"/>
        <v>59.031754962666675</v>
      </c>
      <c r="AH15" s="76">
        <f t="shared" si="10"/>
        <v>43.298628333333333</v>
      </c>
      <c r="AI15" s="77">
        <f t="shared" si="11"/>
        <v>39.855592384666672</v>
      </c>
      <c r="AJ15" s="65"/>
      <c r="AK15" s="66"/>
      <c r="AL15" s="66"/>
      <c r="AM15" s="66"/>
      <c r="AN15" s="66"/>
      <c r="AO15" s="66"/>
    </row>
    <row r="16" spans="1:41" x14ac:dyDescent="0.2">
      <c r="A16"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16" s="68" t="s">
        <v>60</v>
      </c>
      <c r="C16" s="69"/>
      <c r="D16" s="69"/>
      <c r="E16" s="73" t="s">
        <v>61</v>
      </c>
      <c r="F16" s="68" t="s">
        <v>61</v>
      </c>
      <c r="G16" s="69"/>
      <c r="H16" s="69"/>
      <c r="I16" s="69"/>
      <c r="J16" s="69"/>
      <c r="K16" s="70"/>
      <c r="L16" s="147">
        <v>9750</v>
      </c>
      <c r="M16" s="74">
        <f t="shared" si="12"/>
        <v>9750</v>
      </c>
      <c r="N16" s="74">
        <f t="shared" si="12"/>
        <v>7490</v>
      </c>
      <c r="O16" s="74">
        <f t="shared" si="12"/>
        <v>7565</v>
      </c>
      <c r="P16" s="74">
        <v>8271.902399999999</v>
      </c>
      <c r="Q16" s="74">
        <v>8271.902399999999</v>
      </c>
      <c r="R16" s="74">
        <v>6147</v>
      </c>
      <c r="S16" s="74">
        <v>5455.5168000000012</v>
      </c>
      <c r="T16" s="74">
        <v>7125.5923942400041</v>
      </c>
      <c r="U16" s="74">
        <v>7125.5923942400041</v>
      </c>
      <c r="V16" s="74">
        <v>5226.359800000002</v>
      </c>
      <c r="W16" s="74">
        <v>4809.5447679200042</v>
      </c>
      <c r="X16" s="220">
        <f t="shared" si="0"/>
        <v>81.25</v>
      </c>
      <c r="Y16" s="162">
        <f t="shared" si="1"/>
        <v>81.25</v>
      </c>
      <c r="Z16" s="76">
        <f t="shared" si="2"/>
        <v>62.416666666666664</v>
      </c>
      <c r="AA16" s="77">
        <f t="shared" si="3"/>
        <v>63.041666666666664</v>
      </c>
      <c r="AB16" s="221">
        <f t="shared" si="4"/>
        <v>68.932519999999997</v>
      </c>
      <c r="AC16" s="75">
        <f t="shared" si="5"/>
        <v>68.932519999999997</v>
      </c>
      <c r="AD16" s="76">
        <f t="shared" si="6"/>
        <v>51.225000000000001</v>
      </c>
      <c r="AE16" s="77">
        <f t="shared" si="7"/>
        <v>45.462640000000007</v>
      </c>
      <c r="AF16" s="221">
        <f t="shared" si="8"/>
        <v>59.379936618666697</v>
      </c>
      <c r="AG16" s="75">
        <f t="shared" si="9"/>
        <v>59.379936618666697</v>
      </c>
      <c r="AH16" s="76">
        <f t="shared" si="10"/>
        <v>43.552998333333349</v>
      </c>
      <c r="AI16" s="77">
        <f t="shared" si="11"/>
        <v>40.079539732666703</v>
      </c>
      <c r="AJ16" s="65"/>
      <c r="AK16" s="58"/>
      <c r="AL16" s="58"/>
      <c r="AM16" s="58"/>
      <c r="AN16" s="58"/>
      <c r="AO16" s="58"/>
    </row>
    <row r="17" spans="1:41" x14ac:dyDescent="0.2">
      <c r="A17"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17" s="68" t="s">
        <v>60</v>
      </c>
      <c r="C17" s="69" t="s">
        <v>61</v>
      </c>
      <c r="D17" s="69" t="s">
        <v>61</v>
      </c>
      <c r="E17" s="73"/>
      <c r="F17" s="195" t="s">
        <v>61</v>
      </c>
      <c r="G17" s="196"/>
      <c r="H17" s="196"/>
      <c r="I17" s="196"/>
      <c r="J17" s="196"/>
      <c r="K17" s="197"/>
      <c r="L17" s="203">
        <v>13456</v>
      </c>
      <c r="M17" s="74">
        <f t="shared" si="12"/>
        <v>13456</v>
      </c>
      <c r="N17" s="74">
        <f t="shared" si="12"/>
        <v>10304</v>
      </c>
      <c r="O17" s="74">
        <f t="shared" si="12"/>
        <v>10557</v>
      </c>
      <c r="P17" s="74">
        <v>11593.632800000003</v>
      </c>
      <c r="Q17" s="74">
        <v>11593.632800000003</v>
      </c>
      <c r="R17" s="74">
        <v>8609</v>
      </c>
      <c r="S17" s="74">
        <v>7539.3535999999986</v>
      </c>
      <c r="T17" s="74">
        <v>9983.0031844800033</v>
      </c>
      <c r="U17" s="74">
        <v>9983.0031844800033</v>
      </c>
      <c r="V17" s="74">
        <v>7313.8896000000022</v>
      </c>
      <c r="W17" s="74">
        <v>6647.4060038400021</v>
      </c>
      <c r="X17" s="220">
        <f t="shared" si="0"/>
        <v>112.13333333333334</v>
      </c>
      <c r="Y17" s="162">
        <f t="shared" si="1"/>
        <v>112.13333333333334</v>
      </c>
      <c r="Z17" s="76">
        <f t="shared" si="2"/>
        <v>85.86666666666666</v>
      </c>
      <c r="AA17" s="77">
        <f t="shared" si="3"/>
        <v>87.974999999999994</v>
      </c>
      <c r="AB17" s="221">
        <f t="shared" si="4"/>
        <v>96.613606666666698</v>
      </c>
      <c r="AC17" s="75">
        <f t="shared" si="5"/>
        <v>96.613606666666698</v>
      </c>
      <c r="AD17" s="76">
        <f t="shared" si="6"/>
        <v>71.74166666666666</v>
      </c>
      <c r="AE17" s="77">
        <f t="shared" si="7"/>
        <v>62.827946666666655</v>
      </c>
      <c r="AF17" s="221">
        <f t="shared" si="8"/>
        <v>83.191693204000032</v>
      </c>
      <c r="AG17" s="75">
        <f t="shared" si="9"/>
        <v>83.191693204000032</v>
      </c>
      <c r="AH17" s="76">
        <f t="shared" si="10"/>
        <v>60.949080000000016</v>
      </c>
      <c r="AI17" s="77">
        <f t="shared" si="11"/>
        <v>55.395050032000015</v>
      </c>
      <c r="AJ17" s="65"/>
      <c r="AK17" s="66"/>
      <c r="AL17" s="66"/>
      <c r="AM17" s="66"/>
      <c r="AN17" s="66"/>
      <c r="AO17" s="66"/>
    </row>
    <row r="18" spans="1:41" ht="13" x14ac:dyDescent="0.2">
      <c r="A18"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18" s="68" t="s">
        <v>60</v>
      </c>
      <c r="C18" s="69" t="s">
        <v>61</v>
      </c>
      <c r="D18" s="69"/>
      <c r="E18" s="73" t="s">
        <v>61</v>
      </c>
      <c r="F18" s="68" t="s">
        <v>61</v>
      </c>
      <c r="G18" s="69"/>
      <c r="H18" s="69"/>
      <c r="I18" s="69"/>
      <c r="J18" s="69"/>
      <c r="K18" s="70"/>
      <c r="L18" s="147">
        <v>14792</v>
      </c>
      <c r="M18" s="74">
        <f t="shared" si="12"/>
        <v>14792</v>
      </c>
      <c r="N18" s="74">
        <f t="shared" si="12"/>
        <v>11319</v>
      </c>
      <c r="O18" s="74">
        <f t="shared" si="12"/>
        <v>11636</v>
      </c>
      <c r="P18" s="74">
        <v>11684.029200000001</v>
      </c>
      <c r="Q18" s="74">
        <v>11684.029200000001</v>
      </c>
      <c r="R18" s="74">
        <v>8676</v>
      </c>
      <c r="S18" s="74">
        <v>7596.0623999999989</v>
      </c>
      <c r="T18" s="74">
        <v>10060.76375432</v>
      </c>
      <c r="U18" s="74">
        <v>10060.76375432</v>
      </c>
      <c r="V18" s="74">
        <v>7370.6988999999994</v>
      </c>
      <c r="W18" s="74">
        <v>6697.4209115599988</v>
      </c>
      <c r="X18" s="220">
        <f t="shared" si="0"/>
        <v>123.26666666666667</v>
      </c>
      <c r="Y18" s="162">
        <f t="shared" si="1"/>
        <v>123.26666666666667</v>
      </c>
      <c r="Z18" s="76">
        <f t="shared" si="2"/>
        <v>94.325000000000003</v>
      </c>
      <c r="AA18" s="77">
        <f t="shared" si="3"/>
        <v>96.966666666666669</v>
      </c>
      <c r="AB18" s="221">
        <f t="shared" si="4"/>
        <v>97.366910000000004</v>
      </c>
      <c r="AC18" s="75">
        <f t="shared" si="5"/>
        <v>97.366910000000004</v>
      </c>
      <c r="AD18" s="76">
        <f t="shared" si="6"/>
        <v>72.3</v>
      </c>
      <c r="AE18" s="77">
        <f t="shared" si="7"/>
        <v>63.300519999999992</v>
      </c>
      <c r="AF18" s="221">
        <f t="shared" si="8"/>
        <v>83.839697952666668</v>
      </c>
      <c r="AG18" s="75">
        <f t="shared" si="9"/>
        <v>83.839697952666668</v>
      </c>
      <c r="AH18" s="76">
        <f t="shared" si="10"/>
        <v>61.422490833333327</v>
      </c>
      <c r="AI18" s="77">
        <f t="shared" si="11"/>
        <v>55.811840929666658</v>
      </c>
      <c r="AJ18" s="65"/>
      <c r="AK18" s="66"/>
      <c r="AL18" s="66"/>
      <c r="AM18" s="66"/>
      <c r="AN18" s="66"/>
      <c r="AO18" s="66"/>
    </row>
    <row r="19" spans="1:41" x14ac:dyDescent="0.2">
      <c r="A19"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19" s="68" t="s">
        <v>60</v>
      </c>
      <c r="C19" s="69"/>
      <c r="D19" s="69" t="s">
        <v>61</v>
      </c>
      <c r="E19" s="73" t="s">
        <v>61</v>
      </c>
      <c r="F19" s="68" t="s">
        <v>61</v>
      </c>
      <c r="G19" s="69"/>
      <c r="H19" s="69"/>
      <c r="I19" s="69"/>
      <c r="J19" s="69"/>
      <c r="K19" s="70"/>
      <c r="L19" s="147">
        <v>11980</v>
      </c>
      <c r="M19" s="74">
        <f t="shared" si="12"/>
        <v>11980</v>
      </c>
      <c r="N19" s="74">
        <f t="shared" si="12"/>
        <v>9184</v>
      </c>
      <c r="O19" s="74">
        <f t="shared" si="12"/>
        <v>9366</v>
      </c>
      <c r="P19" s="74">
        <v>9262.215200000006</v>
      </c>
      <c r="Q19" s="74">
        <v>9262.215200000006</v>
      </c>
      <c r="R19" s="74">
        <v>6881</v>
      </c>
      <c r="S19" s="74">
        <v>6076.7743999999984</v>
      </c>
      <c r="T19" s="74">
        <v>7977.4768459200022</v>
      </c>
      <c r="U19" s="74">
        <v>7977.4768459200022</v>
      </c>
      <c r="V19" s="74">
        <v>5848.7184000000016</v>
      </c>
      <c r="W19" s="74">
        <v>5357.4692793600043</v>
      </c>
      <c r="X19" s="220">
        <f t="shared" si="0"/>
        <v>99.833333333333329</v>
      </c>
      <c r="Y19" s="162">
        <f t="shared" si="1"/>
        <v>99.833333333333329</v>
      </c>
      <c r="Z19" s="76">
        <f t="shared" si="2"/>
        <v>76.533333333333331</v>
      </c>
      <c r="AA19" s="77">
        <f t="shared" si="3"/>
        <v>78.05</v>
      </c>
      <c r="AB19" s="221">
        <f t="shared" si="4"/>
        <v>77.185126666666719</v>
      </c>
      <c r="AC19" s="75">
        <f t="shared" si="5"/>
        <v>77.185126666666719</v>
      </c>
      <c r="AD19" s="76">
        <f t="shared" si="6"/>
        <v>57.341666666666669</v>
      </c>
      <c r="AE19" s="77">
        <f t="shared" si="7"/>
        <v>50.639786666666652</v>
      </c>
      <c r="AF19" s="221">
        <f t="shared" si="8"/>
        <v>66.478973716000013</v>
      </c>
      <c r="AG19" s="75">
        <f t="shared" si="9"/>
        <v>66.478973716000013</v>
      </c>
      <c r="AH19" s="76">
        <f t="shared" si="10"/>
        <v>48.739320000000014</v>
      </c>
      <c r="AI19" s="77">
        <f t="shared" si="11"/>
        <v>44.645577328000037</v>
      </c>
      <c r="AJ19" s="65"/>
    </row>
    <row r="20" spans="1:41" ht="14.5" thickBot="1" x14ac:dyDescent="0.25">
      <c r="A20"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20" s="80" t="s">
        <v>60</v>
      </c>
      <c r="C20" s="81" t="s">
        <v>61</v>
      </c>
      <c r="D20" s="81" t="s">
        <v>61</v>
      </c>
      <c r="E20" s="82" t="s">
        <v>61</v>
      </c>
      <c r="F20" s="12" t="s">
        <v>61</v>
      </c>
      <c r="G20" s="13"/>
      <c r="H20" s="13"/>
      <c r="I20" s="13"/>
      <c r="J20" s="13"/>
      <c r="K20" s="14"/>
      <c r="L20" s="226">
        <v>15916</v>
      </c>
      <c r="M20" s="96">
        <f t="shared" si="12"/>
        <v>15916</v>
      </c>
      <c r="N20" s="96">
        <f t="shared" si="12"/>
        <v>12172</v>
      </c>
      <c r="O20" s="96">
        <f t="shared" si="12"/>
        <v>12543</v>
      </c>
      <c r="P20" s="96">
        <v>12731.008400000002</v>
      </c>
      <c r="Q20" s="96">
        <v>12731.008400000002</v>
      </c>
      <c r="R20" s="96">
        <v>9452</v>
      </c>
      <c r="S20" s="96">
        <v>8252.8688000000002</v>
      </c>
      <c r="T20" s="96">
        <v>10961.393637840003</v>
      </c>
      <c r="U20" s="96">
        <v>10961.393637840003</v>
      </c>
      <c r="V20" s="96">
        <v>8028.6693000000014</v>
      </c>
      <c r="W20" s="96">
        <v>7276.6980517200027</v>
      </c>
      <c r="X20" s="227">
        <f t="shared" si="0"/>
        <v>132.63333333333333</v>
      </c>
      <c r="Y20" s="165">
        <f t="shared" si="1"/>
        <v>132.63333333333333</v>
      </c>
      <c r="Z20" s="98">
        <f t="shared" si="2"/>
        <v>101.43333333333334</v>
      </c>
      <c r="AA20" s="99">
        <f t="shared" si="3"/>
        <v>104.52500000000001</v>
      </c>
      <c r="AB20" s="228">
        <f t="shared" si="4"/>
        <v>106.09173666666669</v>
      </c>
      <c r="AC20" s="97">
        <f t="shared" si="5"/>
        <v>106.09173666666669</v>
      </c>
      <c r="AD20" s="98">
        <f t="shared" si="6"/>
        <v>78.766666666666666</v>
      </c>
      <c r="AE20" s="99">
        <f t="shared" si="7"/>
        <v>68.773906666666662</v>
      </c>
      <c r="AF20" s="228">
        <f t="shared" si="8"/>
        <v>91.344946982000025</v>
      </c>
      <c r="AG20" s="97">
        <f t="shared" si="9"/>
        <v>91.344946982000025</v>
      </c>
      <c r="AH20" s="98">
        <f t="shared" si="10"/>
        <v>66.905577500000007</v>
      </c>
      <c r="AI20" s="99">
        <f t="shared" si="11"/>
        <v>60.639150431000026</v>
      </c>
      <c r="AJ20" s="65"/>
    </row>
    <row r="21" spans="1:41" ht="14.5" thickTop="1" x14ac:dyDescent="0.2">
      <c r="A21"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21" s="88" t="s">
        <v>60</v>
      </c>
      <c r="C21" s="89" t="s">
        <v>61</v>
      </c>
      <c r="D21" s="89"/>
      <c r="E21" s="90"/>
      <c r="F21" s="88" t="s">
        <v>61</v>
      </c>
      <c r="G21" s="89" t="s">
        <v>61</v>
      </c>
      <c r="H21" s="17"/>
      <c r="I21" s="17"/>
      <c r="J21" s="17"/>
      <c r="K21" s="18"/>
      <c r="L21" s="229">
        <v>13258.095000000008</v>
      </c>
      <c r="M21" s="100">
        <v>13258.095000000008</v>
      </c>
      <c r="N21" s="100">
        <v>10154</v>
      </c>
      <c r="O21" s="100">
        <v>10397.390700000004</v>
      </c>
      <c r="P21" s="100">
        <v>10968</v>
      </c>
      <c r="Q21" s="92">
        <f t="shared" ref="Q21:S27" si="13">ROUNDDOWN(AVERAGE(Q14,Q28),0)</f>
        <v>10968</v>
      </c>
      <c r="R21" s="92">
        <f t="shared" si="13"/>
        <v>8145</v>
      </c>
      <c r="S21" s="92">
        <f t="shared" si="13"/>
        <v>7147</v>
      </c>
      <c r="T21" s="92">
        <v>9445</v>
      </c>
      <c r="U21" s="92">
        <f t="shared" ref="U21:W27" si="14">ROUNDDOWN(AVERAGE(U14,U28),0)</f>
        <v>9445</v>
      </c>
      <c r="V21" s="92">
        <f t="shared" si="14"/>
        <v>6920</v>
      </c>
      <c r="W21" s="92">
        <f t="shared" si="14"/>
        <v>6301</v>
      </c>
      <c r="X21" s="224">
        <f t="shared" si="0"/>
        <v>110.48412500000008</v>
      </c>
      <c r="Y21" s="166">
        <f t="shared" si="1"/>
        <v>110.48412500000008</v>
      </c>
      <c r="Z21" s="102">
        <f t="shared" si="2"/>
        <v>84.61666666666666</v>
      </c>
      <c r="AA21" s="103">
        <f t="shared" si="3"/>
        <v>86.644922500000035</v>
      </c>
      <c r="AB21" s="230">
        <f t="shared" si="4"/>
        <v>91.4</v>
      </c>
      <c r="AC21" s="101">
        <f t="shared" si="5"/>
        <v>91.4</v>
      </c>
      <c r="AD21" s="102">
        <f t="shared" si="6"/>
        <v>67.875</v>
      </c>
      <c r="AE21" s="103">
        <f t="shared" si="7"/>
        <v>59.55833333333333</v>
      </c>
      <c r="AF21" s="230">
        <f t="shared" si="8"/>
        <v>78.708333333333329</v>
      </c>
      <c r="AG21" s="101">
        <f t="shared" si="9"/>
        <v>78.708333333333329</v>
      </c>
      <c r="AH21" s="102">
        <f t="shared" si="10"/>
        <v>57.666666666666664</v>
      </c>
      <c r="AI21" s="103">
        <f t="shared" si="11"/>
        <v>52.508333333333333</v>
      </c>
      <c r="AJ21" s="65"/>
    </row>
    <row r="22" spans="1:41" x14ac:dyDescent="0.2">
      <c r="A22"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22" s="68" t="s">
        <v>60</v>
      </c>
      <c r="C22" s="69"/>
      <c r="D22" s="69" t="s">
        <v>61</v>
      </c>
      <c r="E22" s="73"/>
      <c r="F22" s="68" t="s">
        <v>61</v>
      </c>
      <c r="G22" s="69" t="s">
        <v>61</v>
      </c>
      <c r="H22" s="19"/>
      <c r="I22" s="19"/>
      <c r="J22" s="19"/>
      <c r="K22" s="20"/>
      <c r="L22" s="193">
        <v>8804.0010000000038</v>
      </c>
      <c r="M22" s="74">
        <v>8804.0010000000038</v>
      </c>
      <c r="N22" s="74">
        <v>6772</v>
      </c>
      <c r="O22" s="74">
        <v>6801.3101000000024</v>
      </c>
      <c r="P22" s="74">
        <v>8686</v>
      </c>
      <c r="Q22" s="74">
        <f t="shared" si="13"/>
        <v>8686</v>
      </c>
      <c r="R22" s="74">
        <f t="shared" si="13"/>
        <v>6454</v>
      </c>
      <c r="S22" s="74">
        <f t="shared" si="13"/>
        <v>5715</v>
      </c>
      <c r="T22" s="74">
        <v>7481</v>
      </c>
      <c r="U22" s="74">
        <f t="shared" si="14"/>
        <v>7481</v>
      </c>
      <c r="V22" s="74">
        <f t="shared" si="14"/>
        <v>5486</v>
      </c>
      <c r="W22" s="74">
        <f t="shared" si="14"/>
        <v>5038</v>
      </c>
      <c r="X22" s="220">
        <f t="shared" si="0"/>
        <v>73.366675000000029</v>
      </c>
      <c r="Y22" s="162">
        <f t="shared" si="1"/>
        <v>73.366675000000029</v>
      </c>
      <c r="Z22" s="76">
        <f t="shared" si="2"/>
        <v>56.43333333333333</v>
      </c>
      <c r="AA22" s="77">
        <f t="shared" si="3"/>
        <v>56.677584166666684</v>
      </c>
      <c r="AB22" s="221">
        <f t="shared" si="4"/>
        <v>72.38333333333334</v>
      </c>
      <c r="AC22" s="75">
        <f t="shared" si="5"/>
        <v>72.38333333333334</v>
      </c>
      <c r="AD22" s="76">
        <f t="shared" si="6"/>
        <v>53.783333333333331</v>
      </c>
      <c r="AE22" s="77">
        <f t="shared" si="7"/>
        <v>47.625</v>
      </c>
      <c r="AF22" s="221">
        <f t="shared" si="8"/>
        <v>62.341666666666669</v>
      </c>
      <c r="AG22" s="75">
        <f t="shared" si="9"/>
        <v>62.341666666666669</v>
      </c>
      <c r="AH22" s="76">
        <f t="shared" si="10"/>
        <v>45.716666666666669</v>
      </c>
      <c r="AI22" s="77">
        <f t="shared" si="11"/>
        <v>41.983333333333334</v>
      </c>
      <c r="AJ22" s="65"/>
    </row>
    <row r="23" spans="1:41" x14ac:dyDescent="0.2">
      <c r="A23"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23" s="68" t="s">
        <v>60</v>
      </c>
      <c r="C23" s="69"/>
      <c r="D23" s="69"/>
      <c r="E23" s="73" t="s">
        <v>61</v>
      </c>
      <c r="F23" s="68" t="s">
        <v>61</v>
      </c>
      <c r="G23" s="69" t="s">
        <v>61</v>
      </c>
      <c r="H23" s="19"/>
      <c r="I23" s="19"/>
      <c r="J23" s="19"/>
      <c r="K23" s="20"/>
      <c r="L23" s="193">
        <v>10891.446000000004</v>
      </c>
      <c r="M23" s="74">
        <v>10891.446</v>
      </c>
      <c r="N23" s="74">
        <v>8357</v>
      </c>
      <c r="O23" s="74">
        <v>8486.6405999999988</v>
      </c>
      <c r="P23" s="74">
        <v>8734</v>
      </c>
      <c r="Q23" s="74">
        <f t="shared" si="13"/>
        <v>8734</v>
      </c>
      <c r="R23" s="74">
        <f t="shared" si="13"/>
        <v>6489</v>
      </c>
      <c r="S23" s="74">
        <f t="shared" si="13"/>
        <v>5745</v>
      </c>
      <c r="T23" s="74">
        <v>7523</v>
      </c>
      <c r="U23" s="74">
        <f t="shared" si="14"/>
        <v>7523</v>
      </c>
      <c r="V23" s="74">
        <f t="shared" si="14"/>
        <v>5516</v>
      </c>
      <c r="W23" s="74">
        <f t="shared" si="14"/>
        <v>5065</v>
      </c>
      <c r="X23" s="220">
        <f t="shared" si="0"/>
        <v>90.762050000000031</v>
      </c>
      <c r="Y23" s="162">
        <f t="shared" si="1"/>
        <v>90.762050000000002</v>
      </c>
      <c r="Z23" s="76">
        <f t="shared" si="2"/>
        <v>69.641666666666666</v>
      </c>
      <c r="AA23" s="77">
        <f t="shared" si="3"/>
        <v>70.722004999999996</v>
      </c>
      <c r="AB23" s="221">
        <f t="shared" si="4"/>
        <v>72.783333333333331</v>
      </c>
      <c r="AC23" s="75">
        <f t="shared" si="5"/>
        <v>72.783333333333331</v>
      </c>
      <c r="AD23" s="76">
        <f t="shared" si="6"/>
        <v>54.075000000000003</v>
      </c>
      <c r="AE23" s="77">
        <f t="shared" si="7"/>
        <v>47.875</v>
      </c>
      <c r="AF23" s="221">
        <f t="shared" si="8"/>
        <v>62.69166666666667</v>
      </c>
      <c r="AG23" s="75">
        <f t="shared" si="9"/>
        <v>62.69166666666667</v>
      </c>
      <c r="AH23" s="76">
        <f t="shared" si="10"/>
        <v>45.966666666666669</v>
      </c>
      <c r="AI23" s="77">
        <f t="shared" si="11"/>
        <v>42.208333333333336</v>
      </c>
      <c r="AJ23" s="65"/>
    </row>
    <row r="24" spans="1:41" x14ac:dyDescent="0.2">
      <c r="A24"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24" s="68" t="s">
        <v>60</v>
      </c>
      <c r="C24" s="69" t="s">
        <v>61</v>
      </c>
      <c r="D24" s="69" t="s">
        <v>61</v>
      </c>
      <c r="E24" s="73"/>
      <c r="F24" s="195" t="s">
        <v>61</v>
      </c>
      <c r="G24" s="196" t="s">
        <v>61</v>
      </c>
      <c r="H24" s="19"/>
      <c r="I24" s="19"/>
      <c r="J24" s="19"/>
      <c r="K24" s="20"/>
      <c r="L24" s="193">
        <v>14182.629000000008</v>
      </c>
      <c r="M24" s="74">
        <v>14182.629000000008</v>
      </c>
      <c r="N24" s="74">
        <v>10856</v>
      </c>
      <c r="O24" s="74">
        <v>11143.827300000001</v>
      </c>
      <c r="P24" s="74">
        <v>11990</v>
      </c>
      <c r="Q24" s="74">
        <f t="shared" si="13"/>
        <v>11990</v>
      </c>
      <c r="R24" s="74">
        <f t="shared" si="13"/>
        <v>8903</v>
      </c>
      <c r="S24" s="74">
        <f t="shared" si="13"/>
        <v>7788</v>
      </c>
      <c r="T24" s="74">
        <v>10324</v>
      </c>
      <c r="U24" s="74">
        <f t="shared" si="14"/>
        <v>10324</v>
      </c>
      <c r="V24" s="74">
        <f t="shared" si="14"/>
        <v>7563</v>
      </c>
      <c r="W24" s="74">
        <f t="shared" si="14"/>
        <v>6866</v>
      </c>
      <c r="X24" s="220">
        <f t="shared" si="0"/>
        <v>118.18857500000007</v>
      </c>
      <c r="Y24" s="162">
        <f t="shared" si="1"/>
        <v>118.18857500000007</v>
      </c>
      <c r="Z24" s="76">
        <f t="shared" si="2"/>
        <v>90.466666666666669</v>
      </c>
      <c r="AA24" s="77">
        <f t="shared" si="3"/>
        <v>92.865227500000003</v>
      </c>
      <c r="AB24" s="221">
        <f t="shared" si="4"/>
        <v>99.916666666666671</v>
      </c>
      <c r="AC24" s="75">
        <f t="shared" si="5"/>
        <v>99.916666666666671</v>
      </c>
      <c r="AD24" s="76">
        <f t="shared" si="6"/>
        <v>74.191666666666663</v>
      </c>
      <c r="AE24" s="77">
        <f t="shared" si="7"/>
        <v>64.900000000000006</v>
      </c>
      <c r="AF24" s="221">
        <f t="shared" si="8"/>
        <v>86.033333333333331</v>
      </c>
      <c r="AG24" s="75">
        <f t="shared" si="9"/>
        <v>86.033333333333331</v>
      </c>
      <c r="AH24" s="76">
        <f t="shared" si="10"/>
        <v>63.024999999999999</v>
      </c>
      <c r="AI24" s="77">
        <f t="shared" si="11"/>
        <v>57.216666666666669</v>
      </c>
      <c r="AJ24" s="65"/>
    </row>
    <row r="25" spans="1:41" x14ac:dyDescent="0.2">
      <c r="A25"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25" s="68" t="s">
        <v>60</v>
      </c>
      <c r="C25" s="69" t="s">
        <v>61</v>
      </c>
      <c r="D25" s="69"/>
      <c r="E25" s="73" t="s">
        <v>61</v>
      </c>
      <c r="F25" s="68" t="s">
        <v>61</v>
      </c>
      <c r="G25" s="69" t="s">
        <v>61</v>
      </c>
      <c r="H25" s="19"/>
      <c r="I25" s="19"/>
      <c r="J25" s="19"/>
      <c r="K25" s="20"/>
      <c r="L25" s="193">
        <v>16741.560000000005</v>
      </c>
      <c r="M25" s="74">
        <v>16741.560000000005</v>
      </c>
      <c r="N25" s="74">
        <v>12799</v>
      </c>
      <c r="O25" s="74">
        <v>13209.819200000002</v>
      </c>
      <c r="P25" s="74">
        <v>12078</v>
      </c>
      <c r="Q25" s="74">
        <f t="shared" si="13"/>
        <v>12078</v>
      </c>
      <c r="R25" s="74">
        <f t="shared" si="13"/>
        <v>8968</v>
      </c>
      <c r="S25" s="74">
        <f t="shared" si="13"/>
        <v>7843</v>
      </c>
      <c r="T25" s="74">
        <v>10400</v>
      </c>
      <c r="U25" s="74">
        <f t="shared" si="14"/>
        <v>10400</v>
      </c>
      <c r="V25" s="74">
        <f t="shared" si="14"/>
        <v>7618</v>
      </c>
      <c r="W25" s="74">
        <f t="shared" si="14"/>
        <v>6915</v>
      </c>
      <c r="X25" s="220">
        <f t="shared" si="0"/>
        <v>139.51300000000003</v>
      </c>
      <c r="Y25" s="162">
        <f t="shared" si="1"/>
        <v>139.51300000000003</v>
      </c>
      <c r="Z25" s="76">
        <f t="shared" si="2"/>
        <v>106.65833333333333</v>
      </c>
      <c r="AA25" s="77">
        <f t="shared" si="3"/>
        <v>110.08182666666669</v>
      </c>
      <c r="AB25" s="221">
        <f t="shared" si="4"/>
        <v>100.65</v>
      </c>
      <c r="AC25" s="75">
        <f t="shared" si="5"/>
        <v>100.65</v>
      </c>
      <c r="AD25" s="76">
        <f t="shared" si="6"/>
        <v>74.733333333333334</v>
      </c>
      <c r="AE25" s="77">
        <f t="shared" si="7"/>
        <v>65.358333333333334</v>
      </c>
      <c r="AF25" s="221">
        <f t="shared" si="8"/>
        <v>86.666666666666671</v>
      </c>
      <c r="AG25" s="75">
        <f t="shared" si="9"/>
        <v>86.666666666666671</v>
      </c>
      <c r="AH25" s="76">
        <f t="shared" si="10"/>
        <v>63.483333333333334</v>
      </c>
      <c r="AI25" s="77">
        <f t="shared" si="11"/>
        <v>57.625</v>
      </c>
      <c r="AJ25" s="65"/>
    </row>
    <row r="26" spans="1:41" x14ac:dyDescent="0.2">
      <c r="A26"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26" s="68" t="s">
        <v>60</v>
      </c>
      <c r="C26" s="69"/>
      <c r="D26" s="69" t="s">
        <v>61</v>
      </c>
      <c r="E26" s="73" t="s">
        <v>61</v>
      </c>
      <c r="F26" s="68" t="s">
        <v>61</v>
      </c>
      <c r="G26" s="69" t="s">
        <v>61</v>
      </c>
      <c r="H26" s="19"/>
      <c r="I26" s="19"/>
      <c r="J26" s="19"/>
      <c r="K26" s="20"/>
      <c r="L26" s="193">
        <v>14182.629000000008</v>
      </c>
      <c r="M26" s="74">
        <v>14182.629000000008</v>
      </c>
      <c r="N26" s="74">
        <v>10856</v>
      </c>
      <c r="O26" s="74">
        <v>11143.827300000001</v>
      </c>
      <c r="P26" s="74">
        <v>9726</v>
      </c>
      <c r="Q26" s="74">
        <f t="shared" si="13"/>
        <v>9726</v>
      </c>
      <c r="R26" s="74">
        <f t="shared" si="13"/>
        <v>7225</v>
      </c>
      <c r="S26" s="74">
        <f t="shared" si="13"/>
        <v>6367</v>
      </c>
      <c r="T26" s="74">
        <v>8376</v>
      </c>
      <c r="U26" s="74">
        <f t="shared" si="14"/>
        <v>8376</v>
      </c>
      <c r="V26" s="74">
        <f t="shared" si="14"/>
        <v>6140</v>
      </c>
      <c r="W26" s="74">
        <f t="shared" si="14"/>
        <v>5614</v>
      </c>
      <c r="X26" s="220">
        <f t="shared" si="0"/>
        <v>118.18857500000007</v>
      </c>
      <c r="Y26" s="162">
        <f t="shared" si="1"/>
        <v>118.18857500000007</v>
      </c>
      <c r="Z26" s="76">
        <f t="shared" si="2"/>
        <v>90.466666666666669</v>
      </c>
      <c r="AA26" s="77">
        <f t="shared" si="3"/>
        <v>92.865227500000003</v>
      </c>
      <c r="AB26" s="221">
        <f t="shared" si="4"/>
        <v>81.05</v>
      </c>
      <c r="AC26" s="75">
        <f t="shared" si="5"/>
        <v>81.05</v>
      </c>
      <c r="AD26" s="76">
        <f t="shared" si="6"/>
        <v>60.208333333333336</v>
      </c>
      <c r="AE26" s="77">
        <f t="shared" si="7"/>
        <v>53.05833333333333</v>
      </c>
      <c r="AF26" s="221">
        <f t="shared" si="8"/>
        <v>69.8</v>
      </c>
      <c r="AG26" s="75">
        <f t="shared" si="9"/>
        <v>69.8</v>
      </c>
      <c r="AH26" s="76">
        <f t="shared" si="10"/>
        <v>51.166666666666664</v>
      </c>
      <c r="AI26" s="77">
        <f t="shared" si="11"/>
        <v>46.783333333333331</v>
      </c>
      <c r="AJ26" s="65"/>
    </row>
    <row r="27" spans="1:41" ht="14.5" thickBot="1" x14ac:dyDescent="0.25">
      <c r="A27"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27" s="80" t="s">
        <v>60</v>
      </c>
      <c r="C27" s="81" t="s">
        <v>61</v>
      </c>
      <c r="D27" s="81" t="s">
        <v>61</v>
      </c>
      <c r="E27" s="82" t="s">
        <v>61</v>
      </c>
      <c r="F27" s="12" t="s">
        <v>61</v>
      </c>
      <c r="G27" s="13" t="s">
        <v>61</v>
      </c>
      <c r="H27" s="13"/>
      <c r="I27" s="13"/>
      <c r="J27" s="13"/>
      <c r="K27" s="14"/>
      <c r="L27" s="231">
        <v>17746.431000000004</v>
      </c>
      <c r="M27" s="84">
        <v>17746.431000000004</v>
      </c>
      <c r="N27" s="84">
        <v>13562</v>
      </c>
      <c r="O27" s="84">
        <v>14021.117100000003</v>
      </c>
      <c r="P27" s="84">
        <v>13126</v>
      </c>
      <c r="Q27" s="96">
        <f t="shared" si="13"/>
        <v>13126</v>
      </c>
      <c r="R27" s="96">
        <f t="shared" si="13"/>
        <v>9745</v>
      </c>
      <c r="S27" s="96">
        <f t="shared" si="13"/>
        <v>8500</v>
      </c>
      <c r="T27" s="96">
        <v>11301</v>
      </c>
      <c r="U27" s="96">
        <f t="shared" si="14"/>
        <v>11301</v>
      </c>
      <c r="V27" s="96">
        <f t="shared" si="14"/>
        <v>8277</v>
      </c>
      <c r="W27" s="96">
        <f t="shared" si="14"/>
        <v>7495</v>
      </c>
      <c r="X27" s="222">
        <f t="shared" si="0"/>
        <v>147.88692500000005</v>
      </c>
      <c r="Y27" s="163">
        <f t="shared" si="1"/>
        <v>147.88692500000005</v>
      </c>
      <c r="Z27" s="86">
        <f t="shared" si="2"/>
        <v>113.01666666666667</v>
      </c>
      <c r="AA27" s="87">
        <f t="shared" si="3"/>
        <v>116.84264250000003</v>
      </c>
      <c r="AB27" s="223">
        <f t="shared" si="4"/>
        <v>109.38333333333334</v>
      </c>
      <c r="AC27" s="85">
        <f t="shared" si="5"/>
        <v>109.38333333333334</v>
      </c>
      <c r="AD27" s="86">
        <f t="shared" si="6"/>
        <v>81.208333333333329</v>
      </c>
      <c r="AE27" s="87">
        <f t="shared" si="7"/>
        <v>70.833333333333329</v>
      </c>
      <c r="AF27" s="223">
        <f t="shared" si="8"/>
        <v>94.174999999999997</v>
      </c>
      <c r="AG27" s="85">
        <f t="shared" si="9"/>
        <v>94.174999999999997</v>
      </c>
      <c r="AH27" s="86">
        <f t="shared" si="10"/>
        <v>68.974999999999994</v>
      </c>
      <c r="AI27" s="87">
        <f t="shared" si="11"/>
        <v>62.458333333333336</v>
      </c>
      <c r="AJ27" s="65"/>
    </row>
    <row r="28" spans="1:41" ht="14.5" thickTop="1" x14ac:dyDescent="0.2">
      <c r="A28"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28" s="88" t="s">
        <v>60</v>
      </c>
      <c r="C28" s="89" t="s">
        <v>61</v>
      </c>
      <c r="D28" s="89"/>
      <c r="E28" s="90"/>
      <c r="F28" s="23" t="s">
        <v>60</v>
      </c>
      <c r="G28" s="17"/>
      <c r="H28" s="89" t="s">
        <v>66</v>
      </c>
      <c r="I28" s="89"/>
      <c r="J28" s="17"/>
      <c r="K28" s="18"/>
      <c r="L28" s="229">
        <v>14744</v>
      </c>
      <c r="M28" s="92">
        <f t="shared" ref="M28:O34" si="15">ROUNDDOWN(AVERAGE(M21,M35),0)</f>
        <v>14744</v>
      </c>
      <c r="N28" s="92">
        <f t="shared" si="15"/>
        <v>11282</v>
      </c>
      <c r="O28" s="92">
        <f t="shared" si="15"/>
        <v>11597</v>
      </c>
      <c r="P28" s="92">
        <v>11364.268800000002</v>
      </c>
      <c r="Q28" s="92">
        <v>11364.268800000002</v>
      </c>
      <c r="R28" s="92">
        <v>8439</v>
      </c>
      <c r="S28" s="92">
        <v>7395.4655999999995</v>
      </c>
      <c r="T28" s="92">
        <v>9785.7002460800031</v>
      </c>
      <c r="U28" s="92">
        <v>9785.7002460800031</v>
      </c>
      <c r="V28" s="92">
        <v>7169.7466000000022</v>
      </c>
      <c r="W28" s="92">
        <v>6520.5025066400012</v>
      </c>
      <c r="X28" s="224">
        <f t="shared" si="0"/>
        <v>122.86666666666666</v>
      </c>
      <c r="Y28" s="164">
        <f t="shared" si="1"/>
        <v>122.86666666666666</v>
      </c>
      <c r="Z28" s="94">
        <f t="shared" si="2"/>
        <v>94.016666666666666</v>
      </c>
      <c r="AA28" s="95">
        <f t="shared" si="3"/>
        <v>96.641666666666666</v>
      </c>
      <c r="AB28" s="225">
        <f t="shared" si="4"/>
        <v>94.702240000000018</v>
      </c>
      <c r="AC28" s="93">
        <f t="shared" si="5"/>
        <v>94.702240000000018</v>
      </c>
      <c r="AD28" s="94">
        <f t="shared" si="6"/>
        <v>70.325000000000003</v>
      </c>
      <c r="AE28" s="95">
        <f t="shared" si="7"/>
        <v>61.628879999999995</v>
      </c>
      <c r="AF28" s="225">
        <f t="shared" si="8"/>
        <v>81.547502050666694</v>
      </c>
      <c r="AG28" s="93">
        <f t="shared" si="9"/>
        <v>81.547502050666694</v>
      </c>
      <c r="AH28" s="94">
        <f t="shared" si="10"/>
        <v>59.74788833333335</v>
      </c>
      <c r="AI28" s="95">
        <f t="shared" si="11"/>
        <v>54.337520888666674</v>
      </c>
      <c r="AJ28" s="65"/>
    </row>
    <row r="29" spans="1:41" x14ac:dyDescent="0.2">
      <c r="A29"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29" s="68" t="s">
        <v>60</v>
      </c>
      <c r="C29" s="69"/>
      <c r="D29" s="69" t="s">
        <v>61</v>
      </c>
      <c r="E29" s="73"/>
      <c r="F29" s="26" t="s">
        <v>60</v>
      </c>
      <c r="G29" s="19"/>
      <c r="H29" s="69" t="s">
        <v>61</v>
      </c>
      <c r="I29" s="69"/>
      <c r="J29" s="19"/>
      <c r="K29" s="20"/>
      <c r="L29" s="193">
        <v>10483</v>
      </c>
      <c r="M29" s="74">
        <f t="shared" si="15"/>
        <v>10483</v>
      </c>
      <c r="N29" s="74">
        <f t="shared" si="15"/>
        <v>8047</v>
      </c>
      <c r="O29" s="74">
        <f t="shared" si="15"/>
        <v>8157</v>
      </c>
      <c r="P29" s="74">
        <v>9148.8824000000022</v>
      </c>
      <c r="Q29" s="74">
        <v>9148.8824000000022</v>
      </c>
      <c r="R29" s="74">
        <v>6797</v>
      </c>
      <c r="S29" s="74">
        <v>6005.6768000000011</v>
      </c>
      <c r="T29" s="74">
        <v>7879.9859822399994</v>
      </c>
      <c r="U29" s="74">
        <v>7879.9859822399994</v>
      </c>
      <c r="V29" s="74">
        <v>5777.4948000000004</v>
      </c>
      <c r="W29" s="74">
        <v>5294.7640219200002</v>
      </c>
      <c r="X29" s="220">
        <f t="shared" si="0"/>
        <v>87.358333333333334</v>
      </c>
      <c r="Y29" s="162">
        <f t="shared" si="1"/>
        <v>87.358333333333334</v>
      </c>
      <c r="Z29" s="76">
        <f t="shared" si="2"/>
        <v>67.058333333333337</v>
      </c>
      <c r="AA29" s="77">
        <f t="shared" si="3"/>
        <v>67.974999999999994</v>
      </c>
      <c r="AB29" s="221">
        <f t="shared" si="4"/>
        <v>76.24068666666669</v>
      </c>
      <c r="AC29" s="75">
        <f t="shared" si="5"/>
        <v>76.24068666666669</v>
      </c>
      <c r="AD29" s="76">
        <f t="shared" si="6"/>
        <v>56.641666666666666</v>
      </c>
      <c r="AE29" s="77">
        <f t="shared" si="7"/>
        <v>50.047306666666678</v>
      </c>
      <c r="AF29" s="221">
        <f t="shared" si="8"/>
        <v>65.666549851999989</v>
      </c>
      <c r="AG29" s="75">
        <f t="shared" si="9"/>
        <v>65.666549851999989</v>
      </c>
      <c r="AH29" s="76">
        <f t="shared" si="10"/>
        <v>48.145790000000005</v>
      </c>
      <c r="AI29" s="77">
        <f t="shared" si="11"/>
        <v>44.123033516</v>
      </c>
      <c r="AJ29" s="65"/>
    </row>
    <row r="30" spans="1:41" x14ac:dyDescent="0.2">
      <c r="A30"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30" s="68" t="s">
        <v>60</v>
      </c>
      <c r="C30" s="69"/>
      <c r="D30" s="69"/>
      <c r="E30" s="73" t="s">
        <v>61</v>
      </c>
      <c r="F30" s="26" t="s">
        <v>60</v>
      </c>
      <c r="G30" s="19"/>
      <c r="H30" s="69" t="s">
        <v>61</v>
      </c>
      <c r="I30" s="69"/>
      <c r="J30" s="19"/>
      <c r="K30" s="20"/>
      <c r="L30" s="193">
        <v>12570</v>
      </c>
      <c r="M30" s="74">
        <f t="shared" si="15"/>
        <v>12570</v>
      </c>
      <c r="N30" s="74">
        <f t="shared" si="15"/>
        <v>9632</v>
      </c>
      <c r="O30" s="74">
        <f t="shared" si="15"/>
        <v>9842</v>
      </c>
      <c r="P30" s="74">
        <v>9196.1044000000038</v>
      </c>
      <c r="Q30" s="74">
        <v>9196.1044000000038</v>
      </c>
      <c r="R30" s="74">
        <v>6832</v>
      </c>
      <c r="S30" s="74">
        <v>6035.3008000000009</v>
      </c>
      <c r="T30" s="74">
        <v>7920.6071754400036</v>
      </c>
      <c r="U30" s="74">
        <v>7920.6071754400036</v>
      </c>
      <c r="V30" s="74">
        <v>5807.1713000000018</v>
      </c>
      <c r="W30" s="74">
        <v>5320.891212520004</v>
      </c>
      <c r="X30" s="220">
        <f t="shared" si="0"/>
        <v>104.75</v>
      </c>
      <c r="Y30" s="162">
        <f t="shared" si="1"/>
        <v>104.75</v>
      </c>
      <c r="Z30" s="76">
        <f t="shared" si="2"/>
        <v>80.266666666666666</v>
      </c>
      <c r="AA30" s="77">
        <f t="shared" si="3"/>
        <v>82.016666666666666</v>
      </c>
      <c r="AB30" s="221">
        <f t="shared" si="4"/>
        <v>76.63420333333336</v>
      </c>
      <c r="AC30" s="75">
        <f t="shared" si="5"/>
        <v>76.63420333333336</v>
      </c>
      <c r="AD30" s="76">
        <f t="shared" si="6"/>
        <v>56.93333333333333</v>
      </c>
      <c r="AE30" s="77">
        <f t="shared" si="7"/>
        <v>50.29417333333334</v>
      </c>
      <c r="AF30" s="221">
        <f t="shared" si="8"/>
        <v>66.005059795333366</v>
      </c>
      <c r="AG30" s="75">
        <f t="shared" si="9"/>
        <v>66.005059795333366</v>
      </c>
      <c r="AH30" s="76">
        <f t="shared" si="10"/>
        <v>48.393094166666678</v>
      </c>
      <c r="AI30" s="77">
        <f t="shared" si="11"/>
        <v>44.34076010433337</v>
      </c>
      <c r="AJ30" s="65"/>
    </row>
    <row r="31" spans="1:41" x14ac:dyDescent="0.2">
      <c r="A31"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31" s="68" t="s">
        <v>60</v>
      </c>
      <c r="C31" s="69" t="s">
        <v>61</v>
      </c>
      <c r="D31" s="69" t="s">
        <v>61</v>
      </c>
      <c r="E31" s="73"/>
      <c r="F31" s="26" t="s">
        <v>60</v>
      </c>
      <c r="G31" s="19"/>
      <c r="H31" s="196" t="s">
        <v>61</v>
      </c>
      <c r="I31" s="196"/>
      <c r="J31" s="19"/>
      <c r="K31" s="20"/>
      <c r="L31" s="193">
        <v>15670</v>
      </c>
      <c r="M31" s="74">
        <f t="shared" si="15"/>
        <v>15670</v>
      </c>
      <c r="N31" s="74">
        <f t="shared" si="15"/>
        <v>11985</v>
      </c>
      <c r="O31" s="74">
        <f t="shared" si="15"/>
        <v>12344</v>
      </c>
      <c r="P31" s="74">
        <v>12386.962400000004</v>
      </c>
      <c r="Q31" s="74">
        <v>12386.962400000004</v>
      </c>
      <c r="R31" s="74">
        <v>9197</v>
      </c>
      <c r="S31" s="74">
        <v>8037.0368000000017</v>
      </c>
      <c r="T31" s="74">
        <v>10665.439230240001</v>
      </c>
      <c r="U31" s="74">
        <v>10665.439230240001</v>
      </c>
      <c r="V31" s="74">
        <v>7812.4547999999995</v>
      </c>
      <c r="W31" s="74">
        <v>7086.3428059200014</v>
      </c>
      <c r="X31" s="220">
        <f t="shared" si="0"/>
        <v>130.58333333333334</v>
      </c>
      <c r="Y31" s="162">
        <f t="shared" si="1"/>
        <v>130.58333333333334</v>
      </c>
      <c r="Z31" s="76">
        <f t="shared" si="2"/>
        <v>99.875</v>
      </c>
      <c r="AA31" s="77">
        <f t="shared" si="3"/>
        <v>102.86666666666666</v>
      </c>
      <c r="AB31" s="221">
        <f t="shared" si="4"/>
        <v>103.2246866666667</v>
      </c>
      <c r="AC31" s="75">
        <f t="shared" si="5"/>
        <v>103.2246866666667</v>
      </c>
      <c r="AD31" s="76">
        <f t="shared" si="6"/>
        <v>76.641666666666666</v>
      </c>
      <c r="AE31" s="77">
        <f t="shared" si="7"/>
        <v>66.975306666666683</v>
      </c>
      <c r="AF31" s="221">
        <f t="shared" si="8"/>
        <v>88.878660252000003</v>
      </c>
      <c r="AG31" s="75">
        <f t="shared" si="9"/>
        <v>88.878660252000003</v>
      </c>
      <c r="AH31" s="76">
        <f t="shared" si="10"/>
        <v>65.103789999999989</v>
      </c>
      <c r="AI31" s="77">
        <f t="shared" si="11"/>
        <v>59.052856716000015</v>
      </c>
      <c r="AJ31" s="65"/>
    </row>
    <row r="32" spans="1:41" x14ac:dyDescent="0.2">
      <c r="A32"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32" s="68" t="s">
        <v>60</v>
      </c>
      <c r="C32" s="69" t="s">
        <v>61</v>
      </c>
      <c r="D32" s="69"/>
      <c r="E32" s="73" t="s">
        <v>61</v>
      </c>
      <c r="F32" s="26" t="s">
        <v>60</v>
      </c>
      <c r="G32" s="19"/>
      <c r="H32" s="69" t="s">
        <v>61</v>
      </c>
      <c r="I32" s="69"/>
      <c r="J32" s="19"/>
      <c r="K32" s="20"/>
      <c r="L32" s="193">
        <v>18211</v>
      </c>
      <c r="M32" s="74">
        <f t="shared" si="15"/>
        <v>18211</v>
      </c>
      <c r="N32" s="74">
        <f t="shared" si="15"/>
        <v>13915</v>
      </c>
      <c r="O32" s="74">
        <f t="shared" si="15"/>
        <v>14396</v>
      </c>
      <c r="P32" s="74">
        <v>12473.311200000004</v>
      </c>
      <c r="Q32" s="74">
        <v>12473.311200000004</v>
      </c>
      <c r="R32" s="74">
        <v>9261</v>
      </c>
      <c r="S32" s="74">
        <v>8091.2063999999991</v>
      </c>
      <c r="T32" s="74">
        <v>10739.717983520004</v>
      </c>
      <c r="U32" s="74">
        <v>10739.717983520004</v>
      </c>
      <c r="V32" s="74">
        <v>7866.720400000002</v>
      </c>
      <c r="W32" s="74">
        <v>7134.1182401600017</v>
      </c>
      <c r="X32" s="220">
        <f t="shared" si="0"/>
        <v>151.75833333333333</v>
      </c>
      <c r="Y32" s="162">
        <f t="shared" si="1"/>
        <v>151.75833333333333</v>
      </c>
      <c r="Z32" s="76">
        <f t="shared" si="2"/>
        <v>115.95833333333333</v>
      </c>
      <c r="AA32" s="77">
        <f t="shared" si="3"/>
        <v>119.96666666666667</v>
      </c>
      <c r="AB32" s="221">
        <f t="shared" si="4"/>
        <v>103.94426000000003</v>
      </c>
      <c r="AC32" s="75">
        <f t="shared" si="5"/>
        <v>103.94426000000003</v>
      </c>
      <c r="AD32" s="76">
        <f t="shared" si="6"/>
        <v>77.174999999999997</v>
      </c>
      <c r="AE32" s="77">
        <f t="shared" si="7"/>
        <v>67.426719999999989</v>
      </c>
      <c r="AF32" s="221">
        <f t="shared" si="8"/>
        <v>89.497649862666705</v>
      </c>
      <c r="AG32" s="75">
        <f t="shared" si="9"/>
        <v>89.497649862666705</v>
      </c>
      <c r="AH32" s="76">
        <f t="shared" si="10"/>
        <v>65.556003333333351</v>
      </c>
      <c r="AI32" s="77">
        <f t="shared" si="11"/>
        <v>59.450985334666683</v>
      </c>
      <c r="AJ32" s="65"/>
    </row>
    <row r="33" spans="1:36" x14ac:dyDescent="0.2">
      <c r="A33"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33" s="68" t="s">
        <v>60</v>
      </c>
      <c r="C33" s="69"/>
      <c r="D33" s="69" t="s">
        <v>61</v>
      </c>
      <c r="E33" s="73" t="s">
        <v>61</v>
      </c>
      <c r="F33" s="26" t="s">
        <v>60</v>
      </c>
      <c r="G33" s="19"/>
      <c r="H33" s="69" t="s">
        <v>61</v>
      </c>
      <c r="I33" s="69"/>
      <c r="J33" s="19"/>
      <c r="K33" s="20"/>
      <c r="L33" s="193">
        <v>15670</v>
      </c>
      <c r="M33" s="74">
        <f t="shared" si="15"/>
        <v>15670</v>
      </c>
      <c r="N33" s="74">
        <f t="shared" si="15"/>
        <v>11985</v>
      </c>
      <c r="O33" s="74">
        <f t="shared" si="15"/>
        <v>12344</v>
      </c>
      <c r="P33" s="74">
        <v>10190.464800000002</v>
      </c>
      <c r="Q33" s="74">
        <v>10190.464800000002</v>
      </c>
      <c r="R33" s="74">
        <v>7569</v>
      </c>
      <c r="S33" s="74">
        <v>6659.097600000001</v>
      </c>
      <c r="T33" s="74">
        <v>8775.973443679999</v>
      </c>
      <c r="U33" s="74">
        <v>8775.973443679999</v>
      </c>
      <c r="V33" s="74">
        <v>6432.0735999999997</v>
      </c>
      <c r="W33" s="74">
        <v>5871.0551974400005</v>
      </c>
      <c r="X33" s="220">
        <f t="shared" si="0"/>
        <v>130.58333333333334</v>
      </c>
      <c r="Y33" s="162">
        <f t="shared" si="1"/>
        <v>130.58333333333334</v>
      </c>
      <c r="Z33" s="76">
        <f t="shared" si="2"/>
        <v>99.875</v>
      </c>
      <c r="AA33" s="77">
        <f t="shared" si="3"/>
        <v>102.86666666666666</v>
      </c>
      <c r="AB33" s="221">
        <f t="shared" si="4"/>
        <v>84.920540000000017</v>
      </c>
      <c r="AC33" s="75">
        <f t="shared" si="5"/>
        <v>84.920540000000017</v>
      </c>
      <c r="AD33" s="76">
        <f t="shared" si="6"/>
        <v>63.075000000000003</v>
      </c>
      <c r="AE33" s="77">
        <f t="shared" si="7"/>
        <v>55.492480000000008</v>
      </c>
      <c r="AF33" s="221">
        <f t="shared" si="8"/>
        <v>73.133112030666652</v>
      </c>
      <c r="AG33" s="75">
        <f t="shared" si="9"/>
        <v>73.133112030666652</v>
      </c>
      <c r="AH33" s="76">
        <f t="shared" si="10"/>
        <v>53.600613333333328</v>
      </c>
      <c r="AI33" s="77">
        <f t="shared" si="11"/>
        <v>48.925459978666673</v>
      </c>
      <c r="AJ33" s="65"/>
    </row>
    <row r="34" spans="1:36" ht="14.5" thickBot="1" x14ac:dyDescent="0.25">
      <c r="A34"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34" s="80" t="s">
        <v>60</v>
      </c>
      <c r="C34" s="81" t="s">
        <v>61</v>
      </c>
      <c r="D34" s="81" t="s">
        <v>61</v>
      </c>
      <c r="E34" s="82" t="s">
        <v>61</v>
      </c>
      <c r="F34" s="12" t="s">
        <v>60</v>
      </c>
      <c r="G34" s="13"/>
      <c r="H34" s="13" t="s">
        <v>61</v>
      </c>
      <c r="I34" s="13"/>
      <c r="J34" s="13"/>
      <c r="K34" s="14"/>
      <c r="L34" s="226">
        <v>19217</v>
      </c>
      <c r="M34" s="96">
        <f t="shared" si="15"/>
        <v>19217</v>
      </c>
      <c r="N34" s="96">
        <f t="shared" si="15"/>
        <v>14679</v>
      </c>
      <c r="O34" s="96">
        <f t="shared" si="15"/>
        <v>15208</v>
      </c>
      <c r="P34" s="96">
        <v>13521.639600000002</v>
      </c>
      <c r="Q34" s="96">
        <v>13521.639600000002</v>
      </c>
      <c r="R34" s="96">
        <v>10038</v>
      </c>
      <c r="S34" s="96">
        <v>8748.859199999999</v>
      </c>
      <c r="T34" s="96">
        <v>11641.508472560003</v>
      </c>
      <c r="U34" s="96">
        <v>11641.508472560003</v>
      </c>
      <c r="V34" s="96">
        <v>8525.538700000001</v>
      </c>
      <c r="W34" s="96">
        <v>7714.141871480002</v>
      </c>
      <c r="X34" s="227">
        <f t="shared" si="0"/>
        <v>160.14166666666668</v>
      </c>
      <c r="Y34" s="165">
        <f t="shared" si="1"/>
        <v>160.14166666666668</v>
      </c>
      <c r="Z34" s="98">
        <f t="shared" si="2"/>
        <v>122.325</v>
      </c>
      <c r="AA34" s="99">
        <f t="shared" si="3"/>
        <v>126.73333333333333</v>
      </c>
      <c r="AB34" s="228">
        <f t="shared" si="4"/>
        <v>112.68033000000001</v>
      </c>
      <c r="AC34" s="97">
        <f t="shared" si="5"/>
        <v>112.68033000000001</v>
      </c>
      <c r="AD34" s="98">
        <f t="shared" si="6"/>
        <v>83.65</v>
      </c>
      <c r="AE34" s="99">
        <f t="shared" si="7"/>
        <v>72.90715999999999</v>
      </c>
      <c r="AF34" s="228">
        <f t="shared" si="8"/>
        <v>97.012570604666692</v>
      </c>
      <c r="AG34" s="97">
        <f t="shared" si="9"/>
        <v>97.012570604666692</v>
      </c>
      <c r="AH34" s="98">
        <f t="shared" si="10"/>
        <v>71.046155833333344</v>
      </c>
      <c r="AI34" s="99">
        <f t="shared" si="11"/>
        <v>64.28451559566669</v>
      </c>
      <c r="AJ34" s="65"/>
    </row>
    <row r="35" spans="1:36" ht="14.5" thickTop="1" x14ac:dyDescent="0.2">
      <c r="A35"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35" s="88" t="s">
        <v>60</v>
      </c>
      <c r="C35" s="89" t="s">
        <v>61</v>
      </c>
      <c r="D35" s="89"/>
      <c r="E35" s="90"/>
      <c r="F35" s="23" t="s">
        <v>60</v>
      </c>
      <c r="G35" s="17" t="s">
        <v>60</v>
      </c>
      <c r="H35" s="89" t="s">
        <v>61</v>
      </c>
      <c r="I35" s="89" t="s">
        <v>61</v>
      </c>
      <c r="J35" s="17"/>
      <c r="K35" s="18"/>
      <c r="L35" s="229">
        <v>16230.564000000006</v>
      </c>
      <c r="M35" s="100">
        <v>16230.564000000006</v>
      </c>
      <c r="N35" s="100">
        <v>12411</v>
      </c>
      <c r="O35" s="100">
        <v>12797.258800000003</v>
      </c>
      <c r="P35" s="100">
        <v>11898</v>
      </c>
      <c r="Q35" s="92">
        <f t="shared" ref="Q35:S41" si="16">ROUNDDOWN(AVERAGE(Q28,Q42),0)</f>
        <v>11898</v>
      </c>
      <c r="R35" s="92">
        <f t="shared" si="16"/>
        <v>8835</v>
      </c>
      <c r="S35" s="92">
        <f t="shared" si="16"/>
        <v>7730</v>
      </c>
      <c r="T35" s="92">
        <v>10245</v>
      </c>
      <c r="U35" s="92">
        <f t="shared" ref="U35:W41" si="17">ROUNDDOWN(AVERAGE(U28,U42),0)</f>
        <v>10245</v>
      </c>
      <c r="V35" s="92">
        <f t="shared" si="17"/>
        <v>7505</v>
      </c>
      <c r="W35" s="92">
        <f t="shared" si="17"/>
        <v>6816</v>
      </c>
      <c r="X35" s="224">
        <f t="shared" si="0"/>
        <v>135.25470000000004</v>
      </c>
      <c r="Y35" s="166">
        <f t="shared" si="1"/>
        <v>135.25470000000004</v>
      </c>
      <c r="Z35" s="102">
        <f t="shared" si="2"/>
        <v>103.425</v>
      </c>
      <c r="AA35" s="103">
        <f t="shared" si="3"/>
        <v>106.64382333333336</v>
      </c>
      <c r="AB35" s="230">
        <f t="shared" si="4"/>
        <v>99.15</v>
      </c>
      <c r="AC35" s="101">
        <f t="shared" si="5"/>
        <v>99.15</v>
      </c>
      <c r="AD35" s="102">
        <f t="shared" si="6"/>
        <v>73.625</v>
      </c>
      <c r="AE35" s="103">
        <f t="shared" si="7"/>
        <v>64.416666666666671</v>
      </c>
      <c r="AF35" s="230">
        <f t="shared" si="8"/>
        <v>85.375</v>
      </c>
      <c r="AG35" s="101">
        <f t="shared" si="9"/>
        <v>85.375</v>
      </c>
      <c r="AH35" s="102">
        <f t="shared" si="10"/>
        <v>62.541666666666664</v>
      </c>
      <c r="AI35" s="103">
        <f t="shared" si="11"/>
        <v>56.8</v>
      </c>
      <c r="AJ35" s="65"/>
    </row>
    <row r="36" spans="1:36" x14ac:dyDescent="0.2">
      <c r="A36"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36" s="68" t="s">
        <v>60</v>
      </c>
      <c r="C36" s="69"/>
      <c r="D36" s="69" t="s">
        <v>61</v>
      </c>
      <c r="E36" s="73"/>
      <c r="F36" s="26" t="s">
        <v>60</v>
      </c>
      <c r="G36" s="19" t="s">
        <v>60</v>
      </c>
      <c r="H36" s="69" t="s">
        <v>61</v>
      </c>
      <c r="I36" s="69" t="s">
        <v>61</v>
      </c>
      <c r="J36" s="19"/>
      <c r="K36" s="20"/>
      <c r="L36" s="193">
        <v>12162.351000000002</v>
      </c>
      <c r="M36" s="74">
        <v>12162.351000000002</v>
      </c>
      <c r="N36" s="74">
        <v>9322</v>
      </c>
      <c r="O36" s="74">
        <v>9512.7251000000033</v>
      </c>
      <c r="P36" s="74">
        <v>9748</v>
      </c>
      <c r="Q36" s="74">
        <f t="shared" si="16"/>
        <v>9748</v>
      </c>
      <c r="R36" s="74">
        <f t="shared" si="16"/>
        <v>7241</v>
      </c>
      <c r="S36" s="74">
        <f t="shared" si="16"/>
        <v>6381</v>
      </c>
      <c r="T36" s="74">
        <v>8395</v>
      </c>
      <c r="U36" s="74">
        <f t="shared" si="17"/>
        <v>8395</v>
      </c>
      <c r="V36" s="74">
        <f t="shared" si="17"/>
        <v>6154</v>
      </c>
      <c r="W36" s="74">
        <f t="shared" si="17"/>
        <v>5626</v>
      </c>
      <c r="X36" s="220">
        <f t="shared" si="0"/>
        <v>101.35292500000001</v>
      </c>
      <c r="Y36" s="162">
        <f t="shared" si="1"/>
        <v>101.35292500000001</v>
      </c>
      <c r="Z36" s="76">
        <f t="shared" si="2"/>
        <v>77.683333333333337</v>
      </c>
      <c r="AA36" s="77">
        <f t="shared" si="3"/>
        <v>79.272709166666701</v>
      </c>
      <c r="AB36" s="221">
        <f t="shared" si="4"/>
        <v>81.233333333333334</v>
      </c>
      <c r="AC36" s="75">
        <f t="shared" si="5"/>
        <v>81.233333333333334</v>
      </c>
      <c r="AD36" s="76">
        <f t="shared" si="6"/>
        <v>60.341666666666669</v>
      </c>
      <c r="AE36" s="77">
        <f t="shared" si="7"/>
        <v>53.174999999999997</v>
      </c>
      <c r="AF36" s="221">
        <f t="shared" si="8"/>
        <v>69.958333333333329</v>
      </c>
      <c r="AG36" s="75">
        <f t="shared" si="9"/>
        <v>69.958333333333329</v>
      </c>
      <c r="AH36" s="76">
        <f t="shared" si="10"/>
        <v>51.283333333333331</v>
      </c>
      <c r="AI36" s="77">
        <f t="shared" si="11"/>
        <v>46.883333333333333</v>
      </c>
      <c r="AJ36" s="65"/>
    </row>
    <row r="37" spans="1:36" x14ac:dyDescent="0.2">
      <c r="A37"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37" s="68" t="s">
        <v>60</v>
      </c>
      <c r="C37" s="69"/>
      <c r="D37" s="69"/>
      <c r="E37" s="73" t="s">
        <v>61</v>
      </c>
      <c r="F37" s="26" t="s">
        <v>60</v>
      </c>
      <c r="G37" s="19" t="s">
        <v>60</v>
      </c>
      <c r="H37" s="69" t="s">
        <v>61</v>
      </c>
      <c r="I37" s="69" t="s">
        <v>61</v>
      </c>
      <c r="J37" s="19"/>
      <c r="K37" s="20"/>
      <c r="L37" s="193">
        <v>14249.796000000002</v>
      </c>
      <c r="M37" s="74">
        <v>14249.796000000002</v>
      </c>
      <c r="N37" s="74">
        <v>10907</v>
      </c>
      <c r="O37" s="74">
        <v>11198.055600000003</v>
      </c>
      <c r="P37" s="74">
        <v>9793</v>
      </c>
      <c r="Q37" s="74">
        <f t="shared" si="16"/>
        <v>9793</v>
      </c>
      <c r="R37" s="74">
        <f t="shared" si="16"/>
        <v>7275</v>
      </c>
      <c r="S37" s="74">
        <f t="shared" si="16"/>
        <v>6410</v>
      </c>
      <c r="T37" s="74">
        <v>8434</v>
      </c>
      <c r="U37" s="74">
        <f t="shared" si="17"/>
        <v>8434</v>
      </c>
      <c r="V37" s="74">
        <f t="shared" si="17"/>
        <v>6182</v>
      </c>
      <c r="W37" s="74">
        <f t="shared" si="17"/>
        <v>5651</v>
      </c>
      <c r="X37" s="220">
        <f t="shared" si="0"/>
        <v>118.74830000000001</v>
      </c>
      <c r="Y37" s="162">
        <f t="shared" si="1"/>
        <v>118.74830000000001</v>
      </c>
      <c r="Z37" s="76">
        <f t="shared" si="2"/>
        <v>90.891666666666666</v>
      </c>
      <c r="AA37" s="77">
        <f t="shared" si="3"/>
        <v>93.317130000000034</v>
      </c>
      <c r="AB37" s="221">
        <f t="shared" si="4"/>
        <v>81.608333333333334</v>
      </c>
      <c r="AC37" s="75">
        <f t="shared" si="5"/>
        <v>81.608333333333334</v>
      </c>
      <c r="AD37" s="76">
        <f t="shared" si="6"/>
        <v>60.625</v>
      </c>
      <c r="AE37" s="77">
        <f t="shared" si="7"/>
        <v>53.416666666666664</v>
      </c>
      <c r="AF37" s="221">
        <f t="shared" si="8"/>
        <v>70.283333333333331</v>
      </c>
      <c r="AG37" s="75">
        <f t="shared" si="9"/>
        <v>70.283333333333331</v>
      </c>
      <c r="AH37" s="76">
        <f t="shared" si="10"/>
        <v>51.516666666666666</v>
      </c>
      <c r="AI37" s="77">
        <f t="shared" si="11"/>
        <v>47.091666666666669</v>
      </c>
      <c r="AJ37" s="65"/>
    </row>
    <row r="38" spans="1:36" x14ac:dyDescent="0.2">
      <c r="A38"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38" s="68" t="s">
        <v>60</v>
      </c>
      <c r="C38" s="69" t="s">
        <v>61</v>
      </c>
      <c r="D38" s="69" t="s">
        <v>61</v>
      </c>
      <c r="E38" s="73"/>
      <c r="F38" s="26" t="s">
        <v>60</v>
      </c>
      <c r="G38" s="19" t="s">
        <v>60</v>
      </c>
      <c r="H38" s="196" t="s">
        <v>61</v>
      </c>
      <c r="I38" s="196" t="s">
        <v>61</v>
      </c>
      <c r="J38" s="19"/>
      <c r="K38" s="20"/>
      <c r="L38" s="193">
        <v>17157.732000000004</v>
      </c>
      <c r="M38" s="74">
        <v>17157.732000000004</v>
      </c>
      <c r="N38" s="74">
        <v>13115</v>
      </c>
      <c r="O38" s="74">
        <v>13545.822</v>
      </c>
      <c r="P38" s="74">
        <v>12921</v>
      </c>
      <c r="Q38" s="74">
        <f t="shared" si="16"/>
        <v>12921</v>
      </c>
      <c r="R38" s="74">
        <f t="shared" si="16"/>
        <v>9593</v>
      </c>
      <c r="S38" s="74">
        <f t="shared" si="16"/>
        <v>8372</v>
      </c>
      <c r="T38" s="74">
        <v>11125</v>
      </c>
      <c r="U38" s="74">
        <f t="shared" si="17"/>
        <v>11125</v>
      </c>
      <c r="V38" s="74">
        <f t="shared" si="17"/>
        <v>8148</v>
      </c>
      <c r="W38" s="74">
        <f t="shared" si="17"/>
        <v>7382</v>
      </c>
      <c r="X38" s="220">
        <f t="shared" si="0"/>
        <v>142.98110000000003</v>
      </c>
      <c r="Y38" s="162">
        <f t="shared" si="1"/>
        <v>142.98110000000003</v>
      </c>
      <c r="Z38" s="76">
        <f t="shared" si="2"/>
        <v>109.29166666666667</v>
      </c>
      <c r="AA38" s="77">
        <f t="shared" si="3"/>
        <v>112.88185</v>
      </c>
      <c r="AB38" s="221">
        <f t="shared" si="4"/>
        <v>107.675</v>
      </c>
      <c r="AC38" s="75">
        <f t="shared" si="5"/>
        <v>107.675</v>
      </c>
      <c r="AD38" s="76">
        <f t="shared" si="6"/>
        <v>79.941666666666663</v>
      </c>
      <c r="AE38" s="77">
        <f t="shared" si="7"/>
        <v>69.766666666666666</v>
      </c>
      <c r="AF38" s="221">
        <f t="shared" si="8"/>
        <v>92.708333333333329</v>
      </c>
      <c r="AG38" s="75">
        <f t="shared" si="9"/>
        <v>92.708333333333329</v>
      </c>
      <c r="AH38" s="76">
        <f t="shared" si="10"/>
        <v>67.900000000000006</v>
      </c>
      <c r="AI38" s="77">
        <f t="shared" si="11"/>
        <v>61.516666666666666</v>
      </c>
      <c r="AJ38" s="65"/>
    </row>
    <row r="39" spans="1:36" x14ac:dyDescent="0.2">
      <c r="A39"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39" s="68" t="s">
        <v>60</v>
      </c>
      <c r="C39" s="69" t="s">
        <v>61</v>
      </c>
      <c r="D39" s="69"/>
      <c r="E39" s="73" t="s">
        <v>61</v>
      </c>
      <c r="F39" s="26" t="s">
        <v>60</v>
      </c>
      <c r="G39" s="19" t="s">
        <v>60</v>
      </c>
      <c r="H39" s="69" t="s">
        <v>61</v>
      </c>
      <c r="I39" s="69" t="s">
        <v>61</v>
      </c>
      <c r="J39" s="19"/>
      <c r="K39" s="20"/>
      <c r="L39" s="193">
        <v>19681.104000000007</v>
      </c>
      <c r="M39" s="74">
        <v>19681.104000000007</v>
      </c>
      <c r="N39" s="74">
        <v>15031</v>
      </c>
      <c r="O39" s="74">
        <v>15583.104800000001</v>
      </c>
      <c r="P39" s="74">
        <v>13005</v>
      </c>
      <c r="Q39" s="74">
        <f t="shared" si="16"/>
        <v>13005</v>
      </c>
      <c r="R39" s="74">
        <f t="shared" si="16"/>
        <v>9655</v>
      </c>
      <c r="S39" s="74">
        <f t="shared" si="16"/>
        <v>8425</v>
      </c>
      <c r="T39" s="74">
        <v>11197</v>
      </c>
      <c r="U39" s="74">
        <f t="shared" si="17"/>
        <v>11197</v>
      </c>
      <c r="V39" s="74">
        <f t="shared" si="17"/>
        <v>8201</v>
      </c>
      <c r="W39" s="74">
        <f t="shared" si="17"/>
        <v>7428</v>
      </c>
      <c r="X39" s="220">
        <f t="shared" ref="X39:X55" si="18">L39/$AJ$4</f>
        <v>164.00920000000005</v>
      </c>
      <c r="Y39" s="162">
        <f t="shared" ref="Y39:Y55" si="19">M39/$AJ$4</f>
        <v>164.00920000000005</v>
      </c>
      <c r="Z39" s="76">
        <f t="shared" ref="Z39:Z55" si="20">N39/$AJ$4</f>
        <v>125.25833333333334</v>
      </c>
      <c r="AA39" s="77">
        <f t="shared" ref="AA39:AA55" si="21">O39/$AJ$4</f>
        <v>129.85920666666667</v>
      </c>
      <c r="AB39" s="221">
        <f t="shared" ref="AB39:AB55" si="22">P39/$AJ$4</f>
        <v>108.375</v>
      </c>
      <c r="AC39" s="75">
        <f t="shared" ref="AC39:AC55" si="23">Q39/$AJ$4</f>
        <v>108.375</v>
      </c>
      <c r="AD39" s="76">
        <f t="shared" ref="AD39:AD55" si="24">R39/$AJ$4</f>
        <v>80.458333333333329</v>
      </c>
      <c r="AE39" s="77">
        <f t="shared" ref="AE39:AE55" si="25">S39/$AJ$4</f>
        <v>70.208333333333329</v>
      </c>
      <c r="AF39" s="221">
        <f t="shared" ref="AF39:AF55" si="26">T39/$AJ$4</f>
        <v>93.308333333333337</v>
      </c>
      <c r="AG39" s="75">
        <f t="shared" ref="AG39:AG55" si="27">U39/$AJ$4</f>
        <v>93.308333333333337</v>
      </c>
      <c r="AH39" s="76">
        <f t="shared" ref="AH39:AH55" si="28">V39/$AJ$4</f>
        <v>68.341666666666669</v>
      </c>
      <c r="AI39" s="77">
        <f t="shared" ref="AI39:AI55" si="29">W39/$AJ$4</f>
        <v>61.9</v>
      </c>
      <c r="AJ39" s="65"/>
    </row>
    <row r="40" spans="1:36" x14ac:dyDescent="0.2">
      <c r="A40"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40" s="68" t="s">
        <v>60</v>
      </c>
      <c r="C40" s="69"/>
      <c r="D40" s="69" t="s">
        <v>61</v>
      </c>
      <c r="E40" s="73" t="s">
        <v>61</v>
      </c>
      <c r="F40" s="26" t="s">
        <v>60</v>
      </c>
      <c r="G40" s="19" t="s">
        <v>60</v>
      </c>
      <c r="H40" s="69" t="s">
        <v>61</v>
      </c>
      <c r="I40" s="69" t="s">
        <v>61</v>
      </c>
      <c r="J40" s="19"/>
      <c r="K40" s="20"/>
      <c r="L40" s="193">
        <v>17157.732000000004</v>
      </c>
      <c r="M40" s="74">
        <v>17157.732000000004</v>
      </c>
      <c r="N40" s="74">
        <v>13115</v>
      </c>
      <c r="O40" s="74">
        <v>13545.822</v>
      </c>
      <c r="P40" s="74">
        <v>10789</v>
      </c>
      <c r="Q40" s="74">
        <f t="shared" si="16"/>
        <v>10789</v>
      </c>
      <c r="R40" s="74">
        <f t="shared" si="16"/>
        <v>8013</v>
      </c>
      <c r="S40" s="74">
        <f t="shared" si="16"/>
        <v>7034</v>
      </c>
      <c r="T40" s="74">
        <v>9291</v>
      </c>
      <c r="U40" s="74">
        <f t="shared" si="17"/>
        <v>9291</v>
      </c>
      <c r="V40" s="74">
        <f t="shared" si="17"/>
        <v>6808</v>
      </c>
      <c r="W40" s="74">
        <f t="shared" si="17"/>
        <v>6202</v>
      </c>
      <c r="X40" s="220">
        <f t="shared" si="18"/>
        <v>142.98110000000003</v>
      </c>
      <c r="Y40" s="162">
        <f t="shared" si="19"/>
        <v>142.98110000000003</v>
      </c>
      <c r="Z40" s="76">
        <f t="shared" si="20"/>
        <v>109.29166666666667</v>
      </c>
      <c r="AA40" s="77">
        <f t="shared" si="21"/>
        <v>112.88185</v>
      </c>
      <c r="AB40" s="221">
        <f t="shared" si="22"/>
        <v>89.908333333333331</v>
      </c>
      <c r="AC40" s="75">
        <f t="shared" si="23"/>
        <v>89.908333333333331</v>
      </c>
      <c r="AD40" s="76">
        <f t="shared" si="24"/>
        <v>66.775000000000006</v>
      </c>
      <c r="AE40" s="77">
        <f t="shared" si="25"/>
        <v>58.616666666666667</v>
      </c>
      <c r="AF40" s="221">
        <f t="shared" si="26"/>
        <v>77.424999999999997</v>
      </c>
      <c r="AG40" s="75">
        <f t="shared" si="27"/>
        <v>77.424999999999997</v>
      </c>
      <c r="AH40" s="76">
        <f t="shared" si="28"/>
        <v>56.733333333333334</v>
      </c>
      <c r="AI40" s="77">
        <f t="shared" si="29"/>
        <v>51.68333333333333</v>
      </c>
      <c r="AJ40" s="65"/>
    </row>
    <row r="41" spans="1:36" ht="14.5" thickBot="1" x14ac:dyDescent="0.25">
      <c r="A41"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41" s="80" t="s">
        <v>60</v>
      </c>
      <c r="C41" s="81" t="s">
        <v>61</v>
      </c>
      <c r="D41" s="81" t="s">
        <v>61</v>
      </c>
      <c r="E41" s="82" t="s">
        <v>61</v>
      </c>
      <c r="F41" s="12" t="s">
        <v>60</v>
      </c>
      <c r="G41" s="13" t="s">
        <v>60</v>
      </c>
      <c r="H41" s="13" t="s">
        <v>61</v>
      </c>
      <c r="I41" s="13" t="s">
        <v>61</v>
      </c>
      <c r="J41" s="13"/>
      <c r="K41" s="14"/>
      <c r="L41" s="231">
        <v>20688.609</v>
      </c>
      <c r="M41" s="84">
        <v>20688.609</v>
      </c>
      <c r="N41" s="84">
        <v>15796</v>
      </c>
      <c r="O41" s="84">
        <v>16396.529300000002</v>
      </c>
      <c r="P41" s="84">
        <v>14054</v>
      </c>
      <c r="Q41" s="96">
        <f t="shared" si="16"/>
        <v>14054</v>
      </c>
      <c r="R41" s="96">
        <f t="shared" si="16"/>
        <v>10433</v>
      </c>
      <c r="S41" s="96">
        <f t="shared" si="16"/>
        <v>9083</v>
      </c>
      <c r="T41" s="96">
        <v>12099</v>
      </c>
      <c r="U41" s="96">
        <f t="shared" si="17"/>
        <v>12099</v>
      </c>
      <c r="V41" s="96">
        <f t="shared" si="17"/>
        <v>8860</v>
      </c>
      <c r="W41" s="96">
        <f t="shared" si="17"/>
        <v>8009</v>
      </c>
      <c r="X41" s="227">
        <f t="shared" si="18"/>
        <v>172.40507500000001</v>
      </c>
      <c r="Y41" s="163">
        <f t="shared" si="19"/>
        <v>172.40507500000001</v>
      </c>
      <c r="Z41" s="86">
        <f t="shared" si="20"/>
        <v>131.63333333333333</v>
      </c>
      <c r="AA41" s="87">
        <f t="shared" si="21"/>
        <v>136.63774416666669</v>
      </c>
      <c r="AB41" s="223">
        <f t="shared" si="22"/>
        <v>117.11666666666666</v>
      </c>
      <c r="AC41" s="85">
        <f t="shared" si="23"/>
        <v>117.11666666666666</v>
      </c>
      <c r="AD41" s="86">
        <f t="shared" si="24"/>
        <v>86.941666666666663</v>
      </c>
      <c r="AE41" s="87">
        <f t="shared" si="25"/>
        <v>75.691666666666663</v>
      </c>
      <c r="AF41" s="223">
        <f t="shared" si="26"/>
        <v>100.825</v>
      </c>
      <c r="AG41" s="85">
        <f t="shared" si="27"/>
        <v>100.825</v>
      </c>
      <c r="AH41" s="86">
        <f t="shared" si="28"/>
        <v>73.833333333333329</v>
      </c>
      <c r="AI41" s="87">
        <f t="shared" si="29"/>
        <v>66.74166666666666</v>
      </c>
      <c r="AJ41" s="65"/>
    </row>
    <row r="42" spans="1:36" ht="14.5" thickTop="1" x14ac:dyDescent="0.2">
      <c r="A42"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42" s="88" t="s">
        <v>60</v>
      </c>
      <c r="C42" s="89" t="s">
        <v>61</v>
      </c>
      <c r="D42" s="89"/>
      <c r="E42" s="90"/>
      <c r="F42" s="23" t="s">
        <v>60</v>
      </c>
      <c r="G42" s="17"/>
      <c r="H42" s="17" t="s">
        <v>60</v>
      </c>
      <c r="I42" s="17"/>
      <c r="J42" s="89" t="s">
        <v>61</v>
      </c>
      <c r="K42" s="91"/>
      <c r="L42" s="211">
        <v>17996</v>
      </c>
      <c r="M42" s="92">
        <f t="shared" ref="M42:O48" si="30">ROUNDDOWN(AVERAGE(M35,M49),0)</f>
        <v>17996</v>
      </c>
      <c r="N42" s="92">
        <f t="shared" si="30"/>
        <v>13751</v>
      </c>
      <c r="O42" s="92">
        <f t="shared" si="30"/>
        <v>14222</v>
      </c>
      <c r="P42" s="92">
        <v>12432.835200000001</v>
      </c>
      <c r="Q42" s="92">
        <v>12432.835200000001</v>
      </c>
      <c r="R42" s="92">
        <v>9231</v>
      </c>
      <c r="S42" s="92">
        <v>8065.8143999999993</v>
      </c>
      <c r="T42" s="92">
        <v>10704.899817919999</v>
      </c>
      <c r="U42" s="92">
        <v>10704.899817919999</v>
      </c>
      <c r="V42" s="92">
        <v>7841.2834000000003</v>
      </c>
      <c r="W42" s="92">
        <v>7111.7235053600016</v>
      </c>
      <c r="X42" s="224">
        <f t="shared" si="18"/>
        <v>149.96666666666667</v>
      </c>
      <c r="Y42" s="164">
        <f t="shared" si="19"/>
        <v>149.96666666666667</v>
      </c>
      <c r="Z42" s="94">
        <f t="shared" si="20"/>
        <v>114.59166666666667</v>
      </c>
      <c r="AA42" s="95">
        <f t="shared" si="21"/>
        <v>118.51666666666667</v>
      </c>
      <c r="AB42" s="225">
        <f t="shared" si="22"/>
        <v>103.60696000000002</v>
      </c>
      <c r="AC42" s="93">
        <f t="shared" si="23"/>
        <v>103.60696000000002</v>
      </c>
      <c r="AD42" s="94">
        <f t="shared" si="24"/>
        <v>76.924999999999997</v>
      </c>
      <c r="AE42" s="95">
        <f t="shared" si="25"/>
        <v>67.215119999999999</v>
      </c>
      <c r="AF42" s="225">
        <f t="shared" si="26"/>
        <v>89.207498482666651</v>
      </c>
      <c r="AG42" s="93">
        <f t="shared" si="27"/>
        <v>89.207498482666651</v>
      </c>
      <c r="AH42" s="94">
        <f t="shared" si="28"/>
        <v>65.344028333333341</v>
      </c>
      <c r="AI42" s="95">
        <f t="shared" si="29"/>
        <v>59.264362544666682</v>
      </c>
      <c r="AJ42" s="65"/>
    </row>
    <row r="43" spans="1:36" x14ac:dyDescent="0.2">
      <c r="A43"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43" s="68" t="s">
        <v>60</v>
      </c>
      <c r="C43" s="69"/>
      <c r="D43" s="69" t="s">
        <v>61</v>
      </c>
      <c r="E43" s="73"/>
      <c r="F43" s="26" t="s">
        <v>60</v>
      </c>
      <c r="G43" s="19"/>
      <c r="H43" s="19" t="s">
        <v>60</v>
      </c>
      <c r="I43" s="19"/>
      <c r="J43" s="69" t="s">
        <v>61</v>
      </c>
      <c r="K43" s="70"/>
      <c r="L43" s="147">
        <v>14103</v>
      </c>
      <c r="M43" s="74">
        <f t="shared" si="30"/>
        <v>14103</v>
      </c>
      <c r="N43" s="74">
        <f t="shared" si="30"/>
        <v>10796</v>
      </c>
      <c r="O43" s="74">
        <f t="shared" si="30"/>
        <v>11080</v>
      </c>
      <c r="P43" s="74">
        <v>10348.321200000006</v>
      </c>
      <c r="Q43" s="74">
        <v>10348.321200000006</v>
      </c>
      <c r="R43" s="74">
        <v>7686</v>
      </c>
      <c r="S43" s="74">
        <v>6758.126400000001</v>
      </c>
      <c r="T43" s="74">
        <v>8911.7642895200006</v>
      </c>
      <c r="U43" s="74">
        <v>8911.7642895200006</v>
      </c>
      <c r="V43" s="74">
        <v>6531.277900000001</v>
      </c>
      <c r="W43" s="74">
        <v>5958.3946631600011</v>
      </c>
      <c r="X43" s="220">
        <f t="shared" si="18"/>
        <v>117.52500000000001</v>
      </c>
      <c r="Y43" s="162">
        <f t="shared" si="19"/>
        <v>117.52500000000001</v>
      </c>
      <c r="Z43" s="76">
        <f t="shared" si="20"/>
        <v>89.966666666666669</v>
      </c>
      <c r="AA43" s="77">
        <f t="shared" si="21"/>
        <v>92.333333333333329</v>
      </c>
      <c r="AB43" s="221">
        <f t="shared" si="22"/>
        <v>86.23601000000005</v>
      </c>
      <c r="AC43" s="75">
        <f t="shared" si="23"/>
        <v>86.23601000000005</v>
      </c>
      <c r="AD43" s="76">
        <f t="shared" si="24"/>
        <v>64.05</v>
      </c>
      <c r="AE43" s="77">
        <f t="shared" si="25"/>
        <v>56.317720000000008</v>
      </c>
      <c r="AF43" s="221">
        <f t="shared" si="26"/>
        <v>74.264702412666665</v>
      </c>
      <c r="AG43" s="75">
        <f t="shared" si="27"/>
        <v>74.264702412666665</v>
      </c>
      <c r="AH43" s="76">
        <f t="shared" si="28"/>
        <v>54.427315833333338</v>
      </c>
      <c r="AI43" s="77">
        <f t="shared" si="29"/>
        <v>49.653288859666674</v>
      </c>
      <c r="AJ43" s="65"/>
    </row>
    <row r="44" spans="1:36" x14ac:dyDescent="0.2">
      <c r="A44"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44" s="68" t="s">
        <v>60</v>
      </c>
      <c r="C44" s="69"/>
      <c r="D44" s="69"/>
      <c r="E44" s="73" t="s">
        <v>61</v>
      </c>
      <c r="F44" s="26" t="s">
        <v>60</v>
      </c>
      <c r="G44" s="19"/>
      <c r="H44" s="19" t="s">
        <v>60</v>
      </c>
      <c r="I44" s="19"/>
      <c r="J44" s="69" t="s">
        <v>61</v>
      </c>
      <c r="K44" s="70"/>
      <c r="L44" s="147">
        <v>16183</v>
      </c>
      <c r="M44" s="74">
        <f t="shared" si="30"/>
        <v>16183</v>
      </c>
      <c r="N44" s="74">
        <f t="shared" si="30"/>
        <v>12375</v>
      </c>
      <c r="O44" s="74">
        <f t="shared" si="30"/>
        <v>12758</v>
      </c>
      <c r="P44" s="74">
        <v>10391.495600000002</v>
      </c>
      <c r="Q44" s="74">
        <v>10391.495600000002</v>
      </c>
      <c r="R44" s="74">
        <v>7718</v>
      </c>
      <c r="S44" s="74">
        <v>6785.2112000000016</v>
      </c>
      <c r="T44" s="74">
        <v>8948.9036661600003</v>
      </c>
      <c r="U44" s="74">
        <v>8948.9036661600003</v>
      </c>
      <c r="V44" s="74">
        <v>6558.4107000000004</v>
      </c>
      <c r="W44" s="74">
        <v>5982.2823802800012</v>
      </c>
      <c r="X44" s="220">
        <f t="shared" si="18"/>
        <v>134.85833333333332</v>
      </c>
      <c r="Y44" s="162">
        <f t="shared" si="19"/>
        <v>134.85833333333332</v>
      </c>
      <c r="Z44" s="76">
        <f t="shared" si="20"/>
        <v>103.125</v>
      </c>
      <c r="AA44" s="77">
        <f t="shared" si="21"/>
        <v>106.31666666666666</v>
      </c>
      <c r="AB44" s="221">
        <f t="shared" si="22"/>
        <v>86.595796666666686</v>
      </c>
      <c r="AC44" s="75">
        <f t="shared" si="23"/>
        <v>86.595796666666686</v>
      </c>
      <c r="AD44" s="76">
        <f t="shared" si="24"/>
        <v>64.316666666666663</v>
      </c>
      <c r="AE44" s="77">
        <f t="shared" si="25"/>
        <v>56.543426666666683</v>
      </c>
      <c r="AF44" s="221">
        <f t="shared" si="26"/>
        <v>74.574197218000009</v>
      </c>
      <c r="AG44" s="75">
        <f t="shared" si="27"/>
        <v>74.574197218000009</v>
      </c>
      <c r="AH44" s="76">
        <f t="shared" si="28"/>
        <v>54.653422500000005</v>
      </c>
      <c r="AI44" s="77">
        <f t="shared" si="29"/>
        <v>49.852353169000011</v>
      </c>
      <c r="AJ44" s="65"/>
    </row>
    <row r="45" spans="1:36" x14ac:dyDescent="0.2">
      <c r="A45"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45" s="68" t="s">
        <v>60</v>
      </c>
      <c r="C45" s="69" t="s">
        <v>61</v>
      </c>
      <c r="D45" s="69" t="s">
        <v>61</v>
      </c>
      <c r="E45" s="73"/>
      <c r="F45" s="26" t="s">
        <v>60</v>
      </c>
      <c r="G45" s="19"/>
      <c r="H45" s="19" t="s">
        <v>60</v>
      </c>
      <c r="I45" s="19"/>
      <c r="J45" s="196" t="s">
        <v>61</v>
      </c>
      <c r="K45" s="197"/>
      <c r="L45" s="203">
        <v>18924</v>
      </c>
      <c r="M45" s="74">
        <f t="shared" si="30"/>
        <v>18924</v>
      </c>
      <c r="N45" s="74">
        <f t="shared" si="30"/>
        <v>14456</v>
      </c>
      <c r="O45" s="74">
        <f t="shared" si="30"/>
        <v>14972</v>
      </c>
      <c r="P45" s="74">
        <v>13456.878000000001</v>
      </c>
      <c r="Q45" s="74">
        <v>13456.878000000001</v>
      </c>
      <c r="R45" s="74">
        <v>9990</v>
      </c>
      <c r="S45" s="74">
        <v>8708.232</v>
      </c>
      <c r="T45" s="74">
        <v>11585.799407600003</v>
      </c>
      <c r="U45" s="74">
        <v>11585.799407600003</v>
      </c>
      <c r="V45" s="74">
        <v>8484.8395000000019</v>
      </c>
      <c r="W45" s="74">
        <v>7678.3102958000018</v>
      </c>
      <c r="X45" s="220">
        <f t="shared" si="18"/>
        <v>157.69999999999999</v>
      </c>
      <c r="Y45" s="162">
        <f t="shared" si="19"/>
        <v>157.69999999999999</v>
      </c>
      <c r="Z45" s="76">
        <f t="shared" si="20"/>
        <v>120.46666666666667</v>
      </c>
      <c r="AA45" s="77">
        <f t="shared" si="21"/>
        <v>124.76666666666667</v>
      </c>
      <c r="AB45" s="221">
        <f t="shared" si="22"/>
        <v>112.14065000000001</v>
      </c>
      <c r="AC45" s="75">
        <f t="shared" si="23"/>
        <v>112.14065000000001</v>
      </c>
      <c r="AD45" s="76">
        <f t="shared" si="24"/>
        <v>83.25</v>
      </c>
      <c r="AE45" s="77">
        <f t="shared" si="25"/>
        <v>72.568600000000004</v>
      </c>
      <c r="AF45" s="221">
        <f t="shared" si="26"/>
        <v>96.54832839666669</v>
      </c>
      <c r="AG45" s="75">
        <f t="shared" si="27"/>
        <v>96.54832839666669</v>
      </c>
      <c r="AH45" s="76">
        <f t="shared" si="28"/>
        <v>70.706995833333352</v>
      </c>
      <c r="AI45" s="77">
        <f t="shared" si="29"/>
        <v>63.985919131666684</v>
      </c>
      <c r="AJ45" s="65"/>
    </row>
    <row r="46" spans="1:36" x14ac:dyDescent="0.2">
      <c r="A46"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46" s="68" t="s">
        <v>60</v>
      </c>
      <c r="C46" s="69" t="s">
        <v>61</v>
      </c>
      <c r="D46" s="69"/>
      <c r="E46" s="73" t="s">
        <v>61</v>
      </c>
      <c r="F46" s="26" t="s">
        <v>60</v>
      </c>
      <c r="G46" s="19"/>
      <c r="H46" s="19" t="s">
        <v>60</v>
      </c>
      <c r="I46" s="19"/>
      <c r="J46" s="69" t="s">
        <v>61</v>
      </c>
      <c r="K46" s="70"/>
      <c r="L46" s="147">
        <v>21427</v>
      </c>
      <c r="M46" s="74">
        <f t="shared" si="30"/>
        <v>21427</v>
      </c>
      <c r="N46" s="74">
        <f t="shared" si="30"/>
        <v>16357</v>
      </c>
      <c r="O46" s="74">
        <f t="shared" si="30"/>
        <v>16993</v>
      </c>
      <c r="P46" s="74">
        <v>13537.830000000002</v>
      </c>
      <c r="Q46" s="74">
        <v>13537.830000000002</v>
      </c>
      <c r="R46" s="74">
        <v>10050</v>
      </c>
      <c r="S46" s="74">
        <v>8759.0159999999996</v>
      </c>
      <c r="T46" s="74">
        <v>11655.435738800003</v>
      </c>
      <c r="U46" s="74">
        <v>11655.435738800003</v>
      </c>
      <c r="V46" s="74">
        <v>8535.7135000000017</v>
      </c>
      <c r="W46" s="74">
        <v>7723.0997654000021</v>
      </c>
      <c r="X46" s="220">
        <f t="shared" si="18"/>
        <v>178.55833333333334</v>
      </c>
      <c r="Y46" s="162">
        <f t="shared" si="19"/>
        <v>178.55833333333334</v>
      </c>
      <c r="Z46" s="76">
        <f t="shared" si="20"/>
        <v>136.30833333333334</v>
      </c>
      <c r="AA46" s="77">
        <f t="shared" si="21"/>
        <v>141.60833333333332</v>
      </c>
      <c r="AB46" s="221">
        <f t="shared" si="22"/>
        <v>112.81525000000002</v>
      </c>
      <c r="AC46" s="75">
        <f t="shared" si="23"/>
        <v>112.81525000000002</v>
      </c>
      <c r="AD46" s="76">
        <f t="shared" si="24"/>
        <v>83.75</v>
      </c>
      <c r="AE46" s="77">
        <f t="shared" si="25"/>
        <v>72.991799999999998</v>
      </c>
      <c r="AF46" s="221">
        <f t="shared" si="26"/>
        <v>97.128631156666685</v>
      </c>
      <c r="AG46" s="75">
        <f t="shared" si="27"/>
        <v>97.128631156666685</v>
      </c>
      <c r="AH46" s="76">
        <f t="shared" si="28"/>
        <v>71.130945833333342</v>
      </c>
      <c r="AI46" s="77">
        <f t="shared" si="29"/>
        <v>64.359164711666679</v>
      </c>
      <c r="AJ46" s="65"/>
    </row>
    <row r="47" spans="1:36" x14ac:dyDescent="0.2">
      <c r="A47"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47" s="68" t="s">
        <v>60</v>
      </c>
      <c r="C47" s="69"/>
      <c r="D47" s="69" t="s">
        <v>61</v>
      </c>
      <c r="E47" s="73" t="s">
        <v>61</v>
      </c>
      <c r="F47" s="26" t="s">
        <v>60</v>
      </c>
      <c r="G47" s="19"/>
      <c r="H47" s="19" t="s">
        <v>60</v>
      </c>
      <c r="I47" s="19"/>
      <c r="J47" s="69" t="s">
        <v>61</v>
      </c>
      <c r="K47" s="70"/>
      <c r="L47" s="147">
        <v>18924</v>
      </c>
      <c r="M47" s="74">
        <f t="shared" si="30"/>
        <v>18924</v>
      </c>
      <c r="N47" s="74">
        <f t="shared" si="30"/>
        <v>14456</v>
      </c>
      <c r="O47" s="74">
        <f t="shared" si="30"/>
        <v>14972</v>
      </c>
      <c r="P47" s="74">
        <v>11388.554400000001</v>
      </c>
      <c r="Q47" s="74">
        <v>11388.554400000001</v>
      </c>
      <c r="R47" s="74">
        <v>8457</v>
      </c>
      <c r="S47" s="74">
        <v>7410.7007999999987</v>
      </c>
      <c r="T47" s="74">
        <v>9806.5911454400011</v>
      </c>
      <c r="U47" s="74">
        <v>9806.5911454400011</v>
      </c>
      <c r="V47" s="74">
        <v>7185.0087999999996</v>
      </c>
      <c r="W47" s="74">
        <v>6533.9393475200013</v>
      </c>
      <c r="X47" s="220">
        <f t="shared" si="18"/>
        <v>157.69999999999999</v>
      </c>
      <c r="Y47" s="162">
        <f t="shared" si="19"/>
        <v>157.69999999999999</v>
      </c>
      <c r="Z47" s="76">
        <f t="shared" si="20"/>
        <v>120.46666666666667</v>
      </c>
      <c r="AA47" s="77">
        <f t="shared" si="21"/>
        <v>124.76666666666667</v>
      </c>
      <c r="AB47" s="221">
        <f t="shared" si="22"/>
        <v>94.904620000000008</v>
      </c>
      <c r="AC47" s="75">
        <f t="shared" si="23"/>
        <v>94.904620000000008</v>
      </c>
      <c r="AD47" s="76">
        <f t="shared" si="24"/>
        <v>70.474999999999994</v>
      </c>
      <c r="AE47" s="77">
        <f t="shared" si="25"/>
        <v>61.755839999999992</v>
      </c>
      <c r="AF47" s="221">
        <f t="shared" si="26"/>
        <v>81.721592878666669</v>
      </c>
      <c r="AG47" s="75">
        <f t="shared" si="27"/>
        <v>81.721592878666669</v>
      </c>
      <c r="AH47" s="76">
        <f t="shared" si="28"/>
        <v>59.875073333333333</v>
      </c>
      <c r="AI47" s="77">
        <f t="shared" si="29"/>
        <v>54.449494562666679</v>
      </c>
      <c r="AJ47" s="65"/>
    </row>
    <row r="48" spans="1:36" ht="14.5" thickBot="1" x14ac:dyDescent="0.25">
      <c r="A48"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48" s="80" t="s">
        <v>60</v>
      </c>
      <c r="C48" s="81" t="s">
        <v>61</v>
      </c>
      <c r="D48" s="81" t="s">
        <v>61</v>
      </c>
      <c r="E48" s="82" t="s">
        <v>61</v>
      </c>
      <c r="F48" s="12" t="s">
        <v>60</v>
      </c>
      <c r="G48" s="13"/>
      <c r="H48" s="13" t="s">
        <v>60</v>
      </c>
      <c r="I48" s="13"/>
      <c r="J48" s="13" t="s">
        <v>61</v>
      </c>
      <c r="K48" s="14"/>
      <c r="L48" s="226">
        <v>22435</v>
      </c>
      <c r="M48" s="96">
        <f t="shared" si="30"/>
        <v>22435</v>
      </c>
      <c r="N48" s="96">
        <f t="shared" si="30"/>
        <v>17122</v>
      </c>
      <c r="O48" s="96">
        <f t="shared" si="30"/>
        <v>17806</v>
      </c>
      <c r="P48" s="96">
        <v>14587.507600000001</v>
      </c>
      <c r="Q48" s="96">
        <v>14587.507600000001</v>
      </c>
      <c r="R48" s="96">
        <v>10828</v>
      </c>
      <c r="S48" s="96">
        <v>9417.5152000000016</v>
      </c>
      <c r="T48" s="96">
        <v>12558.38683336</v>
      </c>
      <c r="U48" s="96">
        <v>12558.38683336</v>
      </c>
      <c r="V48" s="96">
        <v>9195.3797000000013</v>
      </c>
      <c r="W48" s="96">
        <v>8303.8698878800024</v>
      </c>
      <c r="X48" s="227">
        <f t="shared" si="18"/>
        <v>186.95833333333334</v>
      </c>
      <c r="Y48" s="165">
        <f t="shared" si="19"/>
        <v>186.95833333333334</v>
      </c>
      <c r="Z48" s="98">
        <f t="shared" si="20"/>
        <v>142.68333333333334</v>
      </c>
      <c r="AA48" s="99">
        <f t="shared" si="21"/>
        <v>148.38333333333333</v>
      </c>
      <c r="AB48" s="228">
        <f t="shared" si="22"/>
        <v>121.56256333333334</v>
      </c>
      <c r="AC48" s="97">
        <f t="shared" si="23"/>
        <v>121.56256333333334</v>
      </c>
      <c r="AD48" s="98">
        <f t="shared" si="24"/>
        <v>90.233333333333334</v>
      </c>
      <c r="AE48" s="99">
        <f t="shared" si="25"/>
        <v>78.479293333333345</v>
      </c>
      <c r="AF48" s="228">
        <f t="shared" si="26"/>
        <v>104.65322361133333</v>
      </c>
      <c r="AG48" s="97">
        <f t="shared" si="27"/>
        <v>104.65322361133333</v>
      </c>
      <c r="AH48" s="98">
        <f t="shared" si="28"/>
        <v>76.628164166666679</v>
      </c>
      <c r="AI48" s="99">
        <f t="shared" si="29"/>
        <v>69.198915732333347</v>
      </c>
      <c r="AJ48" s="65"/>
    </row>
    <row r="49" spans="1:41" ht="14.5" thickTop="1" x14ac:dyDescent="0.2">
      <c r="A49"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49" s="88" t="s">
        <v>60</v>
      </c>
      <c r="C49" s="89" t="s">
        <v>61</v>
      </c>
      <c r="D49" s="89"/>
      <c r="E49" s="90"/>
      <c r="F49" s="23" t="s">
        <v>60</v>
      </c>
      <c r="G49" s="17" t="s">
        <v>60</v>
      </c>
      <c r="H49" s="17" t="s">
        <v>60</v>
      </c>
      <c r="I49" s="17" t="s">
        <v>60</v>
      </c>
      <c r="J49" s="89" t="s">
        <v>61</v>
      </c>
      <c r="K49" s="91" t="s">
        <v>61</v>
      </c>
      <c r="L49" s="211">
        <v>19761.441000000006</v>
      </c>
      <c r="M49" s="100">
        <v>19761.441000000006</v>
      </c>
      <c r="N49" s="100">
        <v>15092</v>
      </c>
      <c r="O49" s="100">
        <v>15647.966100000001</v>
      </c>
      <c r="P49" s="100">
        <v>13487</v>
      </c>
      <c r="Q49" s="92">
        <f t="shared" ref="Q49:S55" si="31">ROUNDDOWN(Q35*Q42/Q21,0)</f>
        <v>13487</v>
      </c>
      <c r="R49" s="92">
        <f t="shared" si="31"/>
        <v>10013</v>
      </c>
      <c r="S49" s="92">
        <f t="shared" si="31"/>
        <v>8723</v>
      </c>
      <c r="T49" s="92">
        <v>11611</v>
      </c>
      <c r="U49" s="92">
        <f t="shared" ref="U49:W55" si="32">ROUNDDOWN(U35*U42/U21,0)</f>
        <v>11611</v>
      </c>
      <c r="V49" s="92">
        <f t="shared" si="32"/>
        <v>8504</v>
      </c>
      <c r="W49" s="92">
        <f t="shared" si="32"/>
        <v>7692</v>
      </c>
      <c r="X49" s="224">
        <f t="shared" si="18"/>
        <v>164.67867500000006</v>
      </c>
      <c r="Y49" s="166">
        <f t="shared" si="19"/>
        <v>164.67867500000006</v>
      </c>
      <c r="Z49" s="102">
        <f t="shared" si="20"/>
        <v>125.76666666666667</v>
      </c>
      <c r="AA49" s="103">
        <f t="shared" si="21"/>
        <v>130.39971750000001</v>
      </c>
      <c r="AB49" s="230">
        <f t="shared" si="22"/>
        <v>112.39166666666667</v>
      </c>
      <c r="AC49" s="101">
        <f t="shared" si="23"/>
        <v>112.39166666666667</v>
      </c>
      <c r="AD49" s="102">
        <f t="shared" si="24"/>
        <v>83.441666666666663</v>
      </c>
      <c r="AE49" s="103">
        <f t="shared" si="25"/>
        <v>72.691666666666663</v>
      </c>
      <c r="AF49" s="230">
        <f t="shared" si="26"/>
        <v>96.75833333333334</v>
      </c>
      <c r="AG49" s="101">
        <f t="shared" si="27"/>
        <v>96.75833333333334</v>
      </c>
      <c r="AH49" s="102">
        <f t="shared" si="28"/>
        <v>70.86666666666666</v>
      </c>
      <c r="AI49" s="103">
        <f t="shared" si="29"/>
        <v>64.099999999999994</v>
      </c>
      <c r="AJ49" s="65"/>
    </row>
    <row r="50" spans="1:41" x14ac:dyDescent="0.2">
      <c r="A50"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50" s="68" t="s">
        <v>60</v>
      </c>
      <c r="C50" s="69"/>
      <c r="D50" s="69" t="s">
        <v>61</v>
      </c>
      <c r="E50" s="73"/>
      <c r="F50" s="26" t="s">
        <v>60</v>
      </c>
      <c r="G50" s="19" t="s">
        <v>60</v>
      </c>
      <c r="H50" s="19" t="s">
        <v>60</v>
      </c>
      <c r="I50" s="19" t="s">
        <v>60</v>
      </c>
      <c r="J50" s="69" t="s">
        <v>61</v>
      </c>
      <c r="K50" s="70" t="s">
        <v>61</v>
      </c>
      <c r="L50" s="147">
        <v>16044.867000000006</v>
      </c>
      <c r="M50" s="74">
        <v>16044.867000000006</v>
      </c>
      <c r="N50" s="74">
        <v>12270</v>
      </c>
      <c r="O50" s="74">
        <v>12647.333500000001</v>
      </c>
      <c r="P50" s="100">
        <v>11613</v>
      </c>
      <c r="Q50" s="100">
        <f t="shared" si="31"/>
        <v>11613</v>
      </c>
      <c r="R50" s="100">
        <f t="shared" si="31"/>
        <v>8623</v>
      </c>
      <c r="S50" s="100">
        <f t="shared" si="31"/>
        <v>7545</v>
      </c>
      <c r="T50" s="100">
        <v>10000</v>
      </c>
      <c r="U50" s="100">
        <f t="shared" si="32"/>
        <v>10000</v>
      </c>
      <c r="V50" s="100">
        <f t="shared" si="32"/>
        <v>7326</v>
      </c>
      <c r="W50" s="100">
        <f t="shared" si="32"/>
        <v>6653</v>
      </c>
      <c r="X50" s="232">
        <f t="shared" si="18"/>
        <v>133.70722500000005</v>
      </c>
      <c r="Y50" s="162">
        <f t="shared" si="19"/>
        <v>133.70722500000005</v>
      </c>
      <c r="Z50" s="76">
        <f t="shared" si="20"/>
        <v>102.25</v>
      </c>
      <c r="AA50" s="77">
        <f t="shared" si="21"/>
        <v>105.39444583333334</v>
      </c>
      <c r="AB50" s="221">
        <f t="shared" si="22"/>
        <v>96.775000000000006</v>
      </c>
      <c r="AC50" s="75">
        <f t="shared" si="23"/>
        <v>96.775000000000006</v>
      </c>
      <c r="AD50" s="76">
        <f t="shared" si="24"/>
        <v>71.858333333333334</v>
      </c>
      <c r="AE50" s="77">
        <f t="shared" si="25"/>
        <v>62.875</v>
      </c>
      <c r="AF50" s="221">
        <f t="shared" si="26"/>
        <v>83.333333333333329</v>
      </c>
      <c r="AG50" s="75">
        <f t="shared" si="27"/>
        <v>83.333333333333329</v>
      </c>
      <c r="AH50" s="76">
        <f t="shared" si="28"/>
        <v>61.05</v>
      </c>
      <c r="AI50" s="77">
        <f t="shared" si="29"/>
        <v>55.44166666666667</v>
      </c>
      <c r="AJ50" s="65"/>
    </row>
    <row r="51" spans="1:41" x14ac:dyDescent="0.2">
      <c r="A51"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51" s="68" t="s">
        <v>60</v>
      </c>
      <c r="C51" s="69"/>
      <c r="D51" s="69"/>
      <c r="E51" s="73" t="s">
        <v>61</v>
      </c>
      <c r="F51" s="26" t="s">
        <v>60</v>
      </c>
      <c r="G51" s="19" t="s">
        <v>60</v>
      </c>
      <c r="H51" s="19" t="s">
        <v>60</v>
      </c>
      <c r="I51" s="19" t="s">
        <v>60</v>
      </c>
      <c r="J51" s="69" t="s">
        <v>61</v>
      </c>
      <c r="K51" s="70" t="s">
        <v>61</v>
      </c>
      <c r="L51" s="147">
        <v>18116.508000000002</v>
      </c>
      <c r="M51" s="74">
        <v>18116.508000000002</v>
      </c>
      <c r="N51" s="74">
        <v>13843</v>
      </c>
      <c r="O51" s="74">
        <v>14319.904400000003</v>
      </c>
      <c r="P51" s="100">
        <v>11651</v>
      </c>
      <c r="Q51" s="100">
        <f t="shared" si="31"/>
        <v>11651</v>
      </c>
      <c r="R51" s="100">
        <f t="shared" si="31"/>
        <v>8652</v>
      </c>
      <c r="S51" s="100">
        <f t="shared" si="31"/>
        <v>7570</v>
      </c>
      <c r="T51" s="100">
        <v>10032</v>
      </c>
      <c r="U51" s="100">
        <f t="shared" si="32"/>
        <v>10032</v>
      </c>
      <c r="V51" s="100">
        <f t="shared" si="32"/>
        <v>7350</v>
      </c>
      <c r="W51" s="100">
        <f t="shared" si="32"/>
        <v>6674</v>
      </c>
      <c r="X51" s="232">
        <f t="shared" si="18"/>
        <v>150.9709</v>
      </c>
      <c r="Y51" s="162">
        <f t="shared" si="19"/>
        <v>150.9709</v>
      </c>
      <c r="Z51" s="76">
        <f t="shared" si="20"/>
        <v>115.35833333333333</v>
      </c>
      <c r="AA51" s="77">
        <f t="shared" si="21"/>
        <v>119.3325366666667</v>
      </c>
      <c r="AB51" s="221">
        <f t="shared" si="22"/>
        <v>97.091666666666669</v>
      </c>
      <c r="AC51" s="75">
        <f t="shared" si="23"/>
        <v>97.091666666666669</v>
      </c>
      <c r="AD51" s="76">
        <f t="shared" si="24"/>
        <v>72.099999999999994</v>
      </c>
      <c r="AE51" s="77">
        <f t="shared" si="25"/>
        <v>63.083333333333336</v>
      </c>
      <c r="AF51" s="221">
        <f t="shared" si="26"/>
        <v>83.6</v>
      </c>
      <c r="AG51" s="75">
        <f t="shared" si="27"/>
        <v>83.6</v>
      </c>
      <c r="AH51" s="76">
        <f t="shared" si="28"/>
        <v>61.25</v>
      </c>
      <c r="AI51" s="77">
        <f t="shared" si="29"/>
        <v>55.616666666666667</v>
      </c>
      <c r="AJ51" s="65"/>
    </row>
    <row r="52" spans="1:41" x14ac:dyDescent="0.2">
      <c r="A52"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52" s="68" t="s">
        <v>60</v>
      </c>
      <c r="C52" s="69" t="s">
        <v>61</v>
      </c>
      <c r="D52" s="69" t="s">
        <v>61</v>
      </c>
      <c r="E52" s="73"/>
      <c r="F52" s="26" t="s">
        <v>60</v>
      </c>
      <c r="G52" s="19" t="s">
        <v>60</v>
      </c>
      <c r="H52" s="19" t="s">
        <v>60</v>
      </c>
      <c r="I52" s="19" t="s">
        <v>60</v>
      </c>
      <c r="J52" s="196" t="s">
        <v>61</v>
      </c>
      <c r="K52" s="197" t="s">
        <v>61</v>
      </c>
      <c r="L52" s="203">
        <v>20691.243000000002</v>
      </c>
      <c r="M52" s="74">
        <v>20691.243000000002</v>
      </c>
      <c r="N52" s="74">
        <v>15798</v>
      </c>
      <c r="O52" s="74">
        <v>16398.655900000002</v>
      </c>
      <c r="P52" s="100">
        <v>14501</v>
      </c>
      <c r="Q52" s="100">
        <f t="shared" si="31"/>
        <v>14501</v>
      </c>
      <c r="R52" s="100">
        <f t="shared" si="31"/>
        <v>10764</v>
      </c>
      <c r="S52" s="100">
        <f t="shared" si="31"/>
        <v>9361</v>
      </c>
      <c r="T52" s="100">
        <v>12484</v>
      </c>
      <c r="U52" s="100">
        <f t="shared" si="32"/>
        <v>12484</v>
      </c>
      <c r="V52" s="100">
        <f t="shared" si="32"/>
        <v>9141</v>
      </c>
      <c r="W52" s="100">
        <f t="shared" si="32"/>
        <v>8255</v>
      </c>
      <c r="X52" s="232">
        <f t="shared" si="18"/>
        <v>172.42702500000001</v>
      </c>
      <c r="Y52" s="162">
        <f t="shared" si="19"/>
        <v>172.42702500000001</v>
      </c>
      <c r="Z52" s="76">
        <f t="shared" si="20"/>
        <v>131.65</v>
      </c>
      <c r="AA52" s="77">
        <f t="shared" si="21"/>
        <v>136.65546583333335</v>
      </c>
      <c r="AB52" s="221">
        <f t="shared" si="22"/>
        <v>120.84166666666667</v>
      </c>
      <c r="AC52" s="75">
        <f t="shared" si="23"/>
        <v>120.84166666666667</v>
      </c>
      <c r="AD52" s="76">
        <f t="shared" si="24"/>
        <v>89.7</v>
      </c>
      <c r="AE52" s="77">
        <f t="shared" si="25"/>
        <v>78.00833333333334</v>
      </c>
      <c r="AF52" s="221">
        <f t="shared" si="26"/>
        <v>104.03333333333333</v>
      </c>
      <c r="AG52" s="75">
        <f t="shared" si="27"/>
        <v>104.03333333333333</v>
      </c>
      <c r="AH52" s="76">
        <f t="shared" si="28"/>
        <v>76.174999999999997</v>
      </c>
      <c r="AI52" s="77">
        <f t="shared" si="29"/>
        <v>68.791666666666671</v>
      </c>
      <c r="AJ52" s="65"/>
    </row>
    <row r="53" spans="1:41" x14ac:dyDescent="0.2">
      <c r="A53"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53" s="68" t="s">
        <v>60</v>
      </c>
      <c r="C53" s="69" t="s">
        <v>61</v>
      </c>
      <c r="D53" s="69"/>
      <c r="E53" s="73" t="s">
        <v>61</v>
      </c>
      <c r="F53" s="26" t="s">
        <v>60</v>
      </c>
      <c r="G53" s="19" t="s">
        <v>60</v>
      </c>
      <c r="H53" s="19" t="s">
        <v>60</v>
      </c>
      <c r="I53" s="19" t="s">
        <v>60</v>
      </c>
      <c r="J53" s="69" t="s">
        <v>61</v>
      </c>
      <c r="K53" s="70" t="s">
        <v>61</v>
      </c>
      <c r="L53" s="147">
        <v>23173.788</v>
      </c>
      <c r="M53" s="74">
        <v>23173.788</v>
      </c>
      <c r="N53" s="74">
        <v>17683</v>
      </c>
      <c r="O53" s="74">
        <v>18402.976400000003</v>
      </c>
      <c r="P53" s="100">
        <v>14576</v>
      </c>
      <c r="Q53" s="100">
        <f t="shared" si="31"/>
        <v>14576</v>
      </c>
      <c r="R53" s="100">
        <f t="shared" si="31"/>
        <v>10819</v>
      </c>
      <c r="S53" s="100">
        <f t="shared" si="31"/>
        <v>9408</v>
      </c>
      <c r="T53" s="100">
        <v>12548</v>
      </c>
      <c r="U53" s="100">
        <f t="shared" si="32"/>
        <v>12548</v>
      </c>
      <c r="V53" s="100">
        <f t="shared" si="32"/>
        <v>9188</v>
      </c>
      <c r="W53" s="100">
        <f t="shared" si="32"/>
        <v>8296</v>
      </c>
      <c r="X53" s="232">
        <f t="shared" si="18"/>
        <v>193.11490000000001</v>
      </c>
      <c r="Y53" s="162">
        <f t="shared" si="19"/>
        <v>193.11490000000001</v>
      </c>
      <c r="Z53" s="76">
        <f t="shared" si="20"/>
        <v>147.35833333333332</v>
      </c>
      <c r="AA53" s="77">
        <f t="shared" si="21"/>
        <v>153.3581366666667</v>
      </c>
      <c r="AB53" s="221">
        <f t="shared" si="22"/>
        <v>121.46666666666667</v>
      </c>
      <c r="AC53" s="75">
        <f t="shared" si="23"/>
        <v>121.46666666666667</v>
      </c>
      <c r="AD53" s="76">
        <f t="shared" si="24"/>
        <v>90.158333333333331</v>
      </c>
      <c r="AE53" s="77">
        <f t="shared" si="25"/>
        <v>78.400000000000006</v>
      </c>
      <c r="AF53" s="221">
        <f t="shared" si="26"/>
        <v>104.56666666666666</v>
      </c>
      <c r="AG53" s="75">
        <f t="shared" si="27"/>
        <v>104.56666666666666</v>
      </c>
      <c r="AH53" s="76">
        <f t="shared" si="28"/>
        <v>76.566666666666663</v>
      </c>
      <c r="AI53" s="77">
        <f t="shared" si="29"/>
        <v>69.13333333333334</v>
      </c>
      <c r="AJ53" s="65"/>
    </row>
    <row r="54" spans="1:41" x14ac:dyDescent="0.2">
      <c r="A54"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54" s="68" t="s">
        <v>60</v>
      </c>
      <c r="C54" s="69"/>
      <c r="D54" s="69" t="s">
        <v>61</v>
      </c>
      <c r="E54" s="73" t="s">
        <v>61</v>
      </c>
      <c r="F54" s="26" t="s">
        <v>60</v>
      </c>
      <c r="G54" s="19" t="s">
        <v>60</v>
      </c>
      <c r="H54" s="19" t="s">
        <v>60</v>
      </c>
      <c r="I54" s="19" t="s">
        <v>60</v>
      </c>
      <c r="J54" s="69" t="s">
        <v>61</v>
      </c>
      <c r="K54" s="70" t="s">
        <v>61</v>
      </c>
      <c r="L54" s="147">
        <v>20691.243000000002</v>
      </c>
      <c r="M54" s="74">
        <v>20691.243000000002</v>
      </c>
      <c r="N54" s="74">
        <v>15798</v>
      </c>
      <c r="O54" s="74">
        <v>16398.655900000002</v>
      </c>
      <c r="P54" s="100">
        <v>12633</v>
      </c>
      <c r="Q54" s="100">
        <f t="shared" si="31"/>
        <v>12633</v>
      </c>
      <c r="R54" s="100">
        <f t="shared" si="31"/>
        <v>9379</v>
      </c>
      <c r="S54" s="100">
        <f t="shared" si="31"/>
        <v>8187</v>
      </c>
      <c r="T54" s="100">
        <v>10877</v>
      </c>
      <c r="U54" s="100">
        <f t="shared" si="32"/>
        <v>10877</v>
      </c>
      <c r="V54" s="100">
        <f t="shared" si="32"/>
        <v>7966</v>
      </c>
      <c r="W54" s="100">
        <f t="shared" si="32"/>
        <v>7218</v>
      </c>
      <c r="X54" s="232">
        <f t="shared" si="18"/>
        <v>172.42702500000001</v>
      </c>
      <c r="Y54" s="162">
        <f t="shared" si="19"/>
        <v>172.42702500000001</v>
      </c>
      <c r="Z54" s="76">
        <f t="shared" si="20"/>
        <v>131.65</v>
      </c>
      <c r="AA54" s="77">
        <f t="shared" si="21"/>
        <v>136.65546583333335</v>
      </c>
      <c r="AB54" s="221">
        <f t="shared" si="22"/>
        <v>105.27500000000001</v>
      </c>
      <c r="AC54" s="75">
        <f t="shared" si="23"/>
        <v>105.27500000000001</v>
      </c>
      <c r="AD54" s="76">
        <f t="shared" si="24"/>
        <v>78.158333333333331</v>
      </c>
      <c r="AE54" s="77">
        <f t="shared" si="25"/>
        <v>68.224999999999994</v>
      </c>
      <c r="AF54" s="221">
        <f t="shared" si="26"/>
        <v>90.641666666666666</v>
      </c>
      <c r="AG54" s="75">
        <f t="shared" si="27"/>
        <v>90.641666666666666</v>
      </c>
      <c r="AH54" s="76">
        <f t="shared" si="28"/>
        <v>66.38333333333334</v>
      </c>
      <c r="AI54" s="77">
        <f t="shared" si="29"/>
        <v>60.15</v>
      </c>
      <c r="AJ54" s="65"/>
    </row>
    <row r="55" spans="1:41" x14ac:dyDescent="0.2">
      <c r="A55" s="65" t="str">
        <f>IF(AND('様式１－１'!$C$25="☑",'様式１－１'!$C$28="☑",'様式１－１'!$C$29="☑",'様式１－１'!$C$30="☑",'様式１－１'!$C$32="☑",'様式１－１'!$C$35="☑",'様式１－１'!$C$36="☑",'様式１－１'!$C$37="☑",'様式１－１'!$C$39="☑",'様式１－１'!$C$42="☑",'様式１－１'!$C$43="☑",'様式１－１'!$C$44="☑",'様式１－１'!$C$53="☑",'様式１－１'!$C$56="☑",'様式１－１'!$C$69="☑",'様式１－１'!$C$72="☑",'様式１－１'!$C$76="☑",'様式１－１'!$C$79="☑"),"★","")</f>
        <v/>
      </c>
      <c r="B55" s="68" t="s">
        <v>60</v>
      </c>
      <c r="C55" s="69" t="s">
        <v>61</v>
      </c>
      <c r="D55" s="69" t="s">
        <v>61</v>
      </c>
      <c r="E55" s="73" t="s">
        <v>61</v>
      </c>
      <c r="F55" s="26" t="s">
        <v>60</v>
      </c>
      <c r="G55" s="19" t="s">
        <v>60</v>
      </c>
      <c r="H55" s="19" t="s">
        <v>60</v>
      </c>
      <c r="I55" s="19" t="s">
        <v>60</v>
      </c>
      <c r="J55" s="19" t="s">
        <v>61</v>
      </c>
      <c r="K55" s="20" t="s">
        <v>61</v>
      </c>
      <c r="L55" s="193">
        <v>24182.61</v>
      </c>
      <c r="M55" s="74">
        <v>24182.61</v>
      </c>
      <c r="N55" s="74">
        <v>18449</v>
      </c>
      <c r="O55" s="74">
        <v>19217.464200000002</v>
      </c>
      <c r="P55" s="100">
        <v>15618</v>
      </c>
      <c r="Q55" s="100">
        <f t="shared" si="31"/>
        <v>15618</v>
      </c>
      <c r="R55" s="100">
        <f t="shared" si="31"/>
        <v>11592</v>
      </c>
      <c r="S55" s="100">
        <f t="shared" si="31"/>
        <v>10063</v>
      </c>
      <c r="T55" s="100">
        <v>13445</v>
      </c>
      <c r="U55" s="100">
        <f t="shared" si="32"/>
        <v>13445</v>
      </c>
      <c r="V55" s="100">
        <f t="shared" si="32"/>
        <v>9843</v>
      </c>
      <c r="W55" s="100">
        <f t="shared" si="32"/>
        <v>8873</v>
      </c>
      <c r="X55" s="232">
        <f t="shared" si="18"/>
        <v>201.52175</v>
      </c>
      <c r="Y55" s="162">
        <f t="shared" si="19"/>
        <v>201.52175</v>
      </c>
      <c r="Z55" s="76">
        <f t="shared" si="20"/>
        <v>153.74166666666667</v>
      </c>
      <c r="AA55" s="77">
        <f t="shared" si="21"/>
        <v>160.14553500000002</v>
      </c>
      <c r="AB55" s="221">
        <f t="shared" si="22"/>
        <v>130.15</v>
      </c>
      <c r="AC55" s="75">
        <f t="shared" si="23"/>
        <v>130.15</v>
      </c>
      <c r="AD55" s="76">
        <f t="shared" si="24"/>
        <v>96.6</v>
      </c>
      <c r="AE55" s="77">
        <f t="shared" si="25"/>
        <v>83.858333333333334</v>
      </c>
      <c r="AF55" s="221">
        <f t="shared" si="26"/>
        <v>112.04166666666667</v>
      </c>
      <c r="AG55" s="75">
        <f t="shared" si="27"/>
        <v>112.04166666666667</v>
      </c>
      <c r="AH55" s="76">
        <f t="shared" si="28"/>
        <v>82.025000000000006</v>
      </c>
      <c r="AI55" s="77">
        <f t="shared" si="29"/>
        <v>73.941666666666663</v>
      </c>
      <c r="AJ55" s="65"/>
    </row>
    <row r="56" spans="1:41" x14ac:dyDescent="0.2">
      <c r="AJ56" s="65"/>
    </row>
    <row r="57" spans="1:41" x14ac:dyDescent="0.2">
      <c r="B57" s="8" t="s">
        <v>87</v>
      </c>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65"/>
      <c r="AK57" s="30"/>
      <c r="AL57" s="30"/>
      <c r="AM57" s="30"/>
      <c r="AN57" s="30"/>
      <c r="AO57" s="30"/>
    </row>
    <row r="58" spans="1:41" x14ac:dyDescent="0.2">
      <c r="AJ58" s="65"/>
    </row>
    <row r="59" spans="1:41" x14ac:dyDescent="0.2">
      <c r="B59" s="466" t="s">
        <v>84</v>
      </c>
      <c r="C59" s="435" t="s">
        <v>70</v>
      </c>
      <c r="D59" s="435" t="s">
        <v>76</v>
      </c>
      <c r="E59" s="435" t="s">
        <v>77</v>
      </c>
      <c r="F59" s="434" t="s">
        <v>139</v>
      </c>
      <c r="G59" s="435" t="s">
        <v>70</v>
      </c>
      <c r="H59" s="435" t="s">
        <v>76</v>
      </c>
      <c r="I59" s="435" t="s">
        <v>77</v>
      </c>
      <c r="J59" s="434" t="s">
        <v>140</v>
      </c>
      <c r="K59" s="435" t="s">
        <v>70</v>
      </c>
      <c r="L59" s="435" t="s">
        <v>76</v>
      </c>
      <c r="M59" s="435" t="s">
        <v>77</v>
      </c>
      <c r="N59" s="434" t="s">
        <v>141</v>
      </c>
      <c r="O59" s="435" t="s">
        <v>70</v>
      </c>
      <c r="P59" s="435" t="s">
        <v>76</v>
      </c>
      <c r="Q59" s="435" t="s">
        <v>77</v>
      </c>
      <c r="R59" s="434" t="s">
        <v>142</v>
      </c>
      <c r="S59" s="435" t="s">
        <v>70</v>
      </c>
      <c r="T59" s="435" t="s">
        <v>76</v>
      </c>
      <c r="U59" s="435" t="s">
        <v>77</v>
      </c>
      <c r="V59" s="434" t="s">
        <v>136</v>
      </c>
      <c r="W59" s="435" t="s">
        <v>70</v>
      </c>
      <c r="X59" s="435" t="s">
        <v>76</v>
      </c>
      <c r="Y59" s="435" t="s">
        <v>77</v>
      </c>
      <c r="Z59" s="434" t="s">
        <v>137</v>
      </c>
      <c r="AA59" s="435" t="s">
        <v>70</v>
      </c>
      <c r="AB59" s="435" t="s">
        <v>76</v>
      </c>
      <c r="AC59" s="435" t="s">
        <v>77</v>
      </c>
      <c r="AD59" s="434" t="s">
        <v>151</v>
      </c>
      <c r="AE59" s="435" t="s">
        <v>70</v>
      </c>
      <c r="AF59" s="435" t="s">
        <v>76</v>
      </c>
      <c r="AG59" s="435" t="s">
        <v>77</v>
      </c>
      <c r="AH59" s="434" t="s">
        <v>152</v>
      </c>
      <c r="AI59" s="435" t="s">
        <v>70</v>
      </c>
      <c r="AJ59" s="435" t="s">
        <v>76</v>
      </c>
      <c r="AK59" s="435" t="s">
        <v>77</v>
      </c>
    </row>
    <row r="60" spans="1:41" x14ac:dyDescent="0.2">
      <c r="B60" s="466"/>
      <c r="C60" s="435"/>
      <c r="D60" s="435"/>
      <c r="E60" s="435"/>
      <c r="F60" s="434"/>
      <c r="G60" s="435"/>
      <c r="H60" s="435"/>
      <c r="I60" s="435"/>
      <c r="J60" s="434"/>
      <c r="K60" s="435"/>
      <c r="L60" s="435"/>
      <c r="M60" s="435"/>
      <c r="N60" s="434"/>
      <c r="O60" s="435"/>
      <c r="P60" s="435"/>
      <c r="Q60" s="435"/>
      <c r="R60" s="434"/>
      <c r="S60" s="435"/>
      <c r="T60" s="435"/>
      <c r="U60" s="435"/>
      <c r="V60" s="434"/>
      <c r="W60" s="435"/>
      <c r="X60" s="435"/>
      <c r="Y60" s="435"/>
      <c r="Z60" s="434"/>
      <c r="AA60" s="435"/>
      <c r="AB60" s="435"/>
      <c r="AC60" s="435"/>
      <c r="AD60" s="434"/>
      <c r="AE60" s="435"/>
      <c r="AF60" s="435"/>
      <c r="AG60" s="435"/>
      <c r="AH60" s="434"/>
      <c r="AI60" s="435"/>
      <c r="AJ60" s="435"/>
      <c r="AK60" s="435"/>
    </row>
    <row r="61" spans="1:41" x14ac:dyDescent="0.2">
      <c r="B61" s="49" t="s">
        <v>157</v>
      </c>
      <c r="C61" s="31" t="str">
        <f>IF(AND(判定!C$4=TRUE,様式１!$G$19&gt;=36),VLOOKUP("★",'計算（様式1-1）'!A7:AI55,24,FALSE),"")</f>
        <v/>
      </c>
      <c r="D61" s="48" t="str">
        <f>IF(AND(判定!C$4=TRUE,AND(様式１!$G$19&gt;=26,様式１!$G$19&lt;36)),VLOOKUP("★",'計算（様式1-1）'!$A$7:$AI$55,28,FALSE),"")</f>
        <v/>
      </c>
      <c r="E61" s="31" t="str">
        <f>IF(AND(判定!C$4=TRUE,様式１!$G$19&lt;26),VLOOKUP("★",'計算（様式1-1）'!$A$7:$AI$55,32,FALSE),"")</f>
        <v/>
      </c>
      <c r="F61" s="49" t="s">
        <v>157</v>
      </c>
      <c r="G61" s="200" t="str">
        <f>IF(AND(判定!$C$4=TRUE,様式１!$G$19&gt;=36),VLOOKUP("★",$A$72:$S$79,8,FALSE),"")</f>
        <v/>
      </c>
      <c r="H61" s="200" t="str">
        <f>IF(AND(判定!$C$4=TRUE,AND(様式１!$G$19&gt;=26,様式１!$G$19&lt;36)),VLOOKUP("★",$A$72:$S$79,12,FALSE),"")</f>
        <v/>
      </c>
      <c r="I61" s="200" t="str">
        <f>IF(AND(判定!$C$4=TRUE,様式１!$G$19&lt;26),VLOOKUP("★",$A$72:$S$79,16,FALSE),"")</f>
        <v/>
      </c>
      <c r="J61" s="49" t="s">
        <v>157</v>
      </c>
      <c r="K61" s="200" t="str">
        <f>IF(AND(判定!$C$4=TRUE,様式１!$G$19&gt;=36),VLOOKUP("★",$A$80:$S$87,8,FALSE),"")</f>
        <v/>
      </c>
      <c r="L61" s="200" t="str">
        <f>IF(AND(判定!$C$4=TRUE,AND(様式１!$G$19&gt;=26,様式１!$G$19&lt;36)),VLOOKUP("★",$A$80:$S$87,12,FALSE),"")</f>
        <v/>
      </c>
      <c r="M61" s="200" t="str">
        <f>IF(AND(判定!$C$4=TRUE,様式１!$G$19&lt;26),VLOOKUP("★",$A$80:$S$87,16,FALSE),"")</f>
        <v/>
      </c>
      <c r="N61" s="49" t="s">
        <v>157</v>
      </c>
      <c r="O61" s="200" t="str">
        <f>IF(AND(判定!$C$4=TRUE,様式１!$G$19&gt;=36),VLOOKUP("★",$A$88:$S$95,8,FALSE),"")</f>
        <v/>
      </c>
      <c r="P61" s="200" t="str">
        <f>IF(AND(判定!$C$4=TRUE,AND(様式１!$G$19&gt;=26,様式１!$G$19&lt;36)),VLOOKUP("★",$A$88:$S$95,12,FALSE),"")</f>
        <v/>
      </c>
      <c r="Q61" s="200" t="str">
        <f>IF(AND(判定!$C$4=TRUE,様式１!$G$19&lt;26),VLOOKUP("★",$A$88:$S$95,16,FALSE),"")</f>
        <v/>
      </c>
      <c r="R61" s="49" t="s">
        <v>157</v>
      </c>
      <c r="S61" s="200" t="str">
        <f>IF(AND(判定!$C$4=TRUE,様式１!$G$19&gt;=36),VLOOKUP("★",$A$96:$S$103,8,FALSE),"")</f>
        <v/>
      </c>
      <c r="T61" s="200" t="str">
        <f>IF(AND(判定!$C$4=TRUE,AND(様式１!$G$19&gt;=26,様式１!$G$19&lt;36)),VLOOKUP("★",$A$96:$S$103,12,FALSE),"")</f>
        <v/>
      </c>
      <c r="U61" s="200" t="str">
        <f>IF(AND(判定!$C$4=TRUE,様式１!$G$19&lt;26),VLOOKUP("★",$A$96:$S$103,16,FALSE),"")</f>
        <v/>
      </c>
      <c r="V61" s="49" t="s">
        <v>157</v>
      </c>
      <c r="W61" s="200" t="str">
        <f>IF(AND(判定!$C$4=TRUE,様式１!$G$19&gt;=36),VLOOKUP("★",$A$104:$S$111,8,FALSE),"")</f>
        <v/>
      </c>
      <c r="X61" s="200" t="str">
        <f>IF(AND(判定!$C$4=TRUE,AND(様式１!$G$19&gt;=26,様式１!$G$19&lt;36)),VLOOKUP("★",$A$104:$S$111,12,FALSE),"")</f>
        <v/>
      </c>
      <c r="Y61" s="200" t="str">
        <f>IF(AND(判定!$C$4=TRUE,様式１!$G$19&lt;26),VLOOKUP("★",$A$104:$S$111,16,FALSE),"")</f>
        <v/>
      </c>
      <c r="Z61" s="49" t="s">
        <v>157</v>
      </c>
      <c r="AA61" s="200" t="str">
        <f>IF(AND(判定!$C$4=TRUE,様式１!$G$19&gt;=36),VLOOKUP("★",$A$112:$S$119,8,FALSE),"")</f>
        <v/>
      </c>
      <c r="AB61" s="200" t="str">
        <f>IF(AND(判定!$C$4=TRUE,AND(様式１!$G$19&gt;=26,様式１!$G$19&lt;36)),VLOOKUP("★",$A$112:$S$119,12,FALSE),"")</f>
        <v/>
      </c>
      <c r="AC61" s="200" t="str">
        <f>IF(AND(判定!$C$4=TRUE,様式１!$G$19&lt;26),VLOOKUP("★",$A$112:$S$119,16,FALSE),"")</f>
        <v/>
      </c>
      <c r="AD61" s="49" t="s">
        <v>157</v>
      </c>
      <c r="AE61" s="200" t="str">
        <f>IF(AND(判定!$C$4=TRUE,様式１!$G$19&gt;=36),VLOOKUP("★",$A$120:$S$127,8,FALSE),"")</f>
        <v/>
      </c>
      <c r="AF61" s="200" t="str">
        <f>IF(AND(判定!$C$4=TRUE,AND(様式１!$G$19&gt;=26,様式１!$G$19&lt;36)),VLOOKUP("★",$A$120:$S$127,12,FALSE),"")</f>
        <v/>
      </c>
      <c r="AG61" s="200" t="str">
        <f>IF(AND(判定!$C$4=TRUE,様式１!$G$19&lt;26),VLOOKUP("★",$A$120:$S$127,16,FALSE),"")</f>
        <v/>
      </c>
      <c r="AH61" s="49" t="s">
        <v>157</v>
      </c>
      <c r="AI61" s="200" t="str">
        <f>IF(AND(判定!$C$4=TRUE,様式１!$G$19&gt;=36),VLOOKUP("★",$A$128:$S$135,8,FALSE),"")</f>
        <v/>
      </c>
      <c r="AJ61" s="200" t="str">
        <f>IF(AND(判定!$C$4=TRUE,AND(様式１!$G$19&gt;=26,様式１!$G$19&lt;36)),VLOOKUP("★",$A$128:$S$135,12,FALSE),"")</f>
        <v/>
      </c>
      <c r="AK61" s="200" t="str">
        <f>IF(AND(判定!$C$4=TRUE,様式１!$G$19&lt;26),VLOOKUP("★",$A$128:$S$135,16,FALSE),"")</f>
        <v/>
      </c>
    </row>
    <row r="62" spans="1:41" x14ac:dyDescent="0.2">
      <c r="B62" s="49" t="s">
        <v>73</v>
      </c>
      <c r="C62" s="31" t="str">
        <f>IF(AND(判定!D$4=TRUE,様式１!$G$19&gt;=36),VLOOKUP("★",'計算（様式1-1）'!A7:AI55,25,FALSE),"")</f>
        <v/>
      </c>
      <c r="D62" s="48" t="str">
        <f>IF(AND(判定!D$4=TRUE,AND(様式１!$G$19&gt;=26,様式１!$G$19&lt;36)),VLOOKUP("★",'計算（様式1-1）'!$A$7:$AI$55,29,FALSE),"")</f>
        <v/>
      </c>
      <c r="E62" s="31" t="str">
        <f>IF(AND(判定!D$4=TRUE,様式１!$G$19&lt;26),VLOOKUP("★",'計算（様式1-1）'!$A$7:$AI$55,33,FALSE),"")</f>
        <v/>
      </c>
      <c r="F62" s="200" t="s">
        <v>73</v>
      </c>
      <c r="G62" s="200" t="str">
        <f>IF(AND(判定!$D$4=TRUE,様式１!$G$19&gt;=36),VLOOKUP("★",$A$72:$S$79,9,FALSE),"")</f>
        <v/>
      </c>
      <c r="H62" s="200" t="str">
        <f>IF(AND(判定!$D$4=TRUE,AND(様式１!$G$19&gt;=26,様式１!$G$19&lt;36)),VLOOKUP("★",$A$72:$S$79,13,FALSE),"")</f>
        <v/>
      </c>
      <c r="I62" s="200" t="str">
        <f>IF(AND(判定!$D$4=TRUE,様式１!$G$19&lt;26),VLOOKUP("★",$A$72:$S$79,17,FALSE),"")</f>
        <v/>
      </c>
      <c r="J62" s="200" t="s">
        <v>73</v>
      </c>
      <c r="K62" s="200" t="str">
        <f>IF(AND(判定!$D$4=TRUE,様式１!$G$19&gt;=36),VLOOKUP("★",$A$80:$S$87,9,FALSE),"")</f>
        <v/>
      </c>
      <c r="L62" s="200" t="str">
        <f>IF(AND(判定!$D$4=TRUE,AND(様式１!$G$19&gt;=26,様式１!$G$19&lt;36)),VLOOKUP("★",$A$80:$S$87,13,FALSE),"")</f>
        <v/>
      </c>
      <c r="M62" s="200" t="str">
        <f>IF(AND(判定!$D$4=TRUE,様式１!$G$19&lt;26),VLOOKUP("★",$A$80:$S$87,17,FALSE),"")</f>
        <v/>
      </c>
      <c r="N62" s="200" t="s">
        <v>73</v>
      </c>
      <c r="O62" s="200" t="str">
        <f>IF(AND(判定!$D$4=TRUE,様式１!$G$19&gt;=36),VLOOKUP("★",$A$88:$S$95,9,FALSE),"")</f>
        <v/>
      </c>
      <c r="P62" s="200" t="str">
        <f>IF(AND(判定!$D$4=TRUE,AND(様式１!$G$19&gt;=26,様式１!$G$19&lt;36)),VLOOKUP("★",$A$88:$S$95,13,FALSE),"")</f>
        <v/>
      </c>
      <c r="Q62" s="200" t="str">
        <f>IF(AND(判定!$D$4=TRUE,様式１!$G$19&lt;26),VLOOKUP("★",$A$88:$S$95,17,FALSE),"")</f>
        <v/>
      </c>
      <c r="R62" s="200" t="s">
        <v>73</v>
      </c>
      <c r="S62" s="200" t="str">
        <f>IF(AND(判定!$D$4=TRUE,様式１!$G$19&gt;=36),VLOOKUP("★",$A$96:$S$103,9,FALSE),"")</f>
        <v/>
      </c>
      <c r="T62" s="200" t="str">
        <f>IF(AND(判定!$D$4=TRUE,AND(様式１!$G$19&gt;=26,様式１!$G$19&lt;36)),VLOOKUP("★",$A$96:$S$103,13,FALSE),"")</f>
        <v/>
      </c>
      <c r="U62" s="200" t="str">
        <f>IF(AND(判定!$D$4=TRUE,様式１!$G$19&lt;26),VLOOKUP("★",$A$96:$S$103,17,FALSE),"")</f>
        <v/>
      </c>
      <c r="V62" s="200" t="s">
        <v>73</v>
      </c>
      <c r="W62" s="200" t="str">
        <f>IF(AND(判定!$D$4=TRUE,様式１!$G$19&gt;=36),VLOOKUP("★",$A$104:$S$111,9,FALSE),"")</f>
        <v/>
      </c>
      <c r="X62" s="200" t="str">
        <f>IF(AND(判定!$D$4=TRUE,AND(様式１!$G$19&gt;=26,様式１!$G$19&lt;36)),VLOOKUP("★",$A$104:$S$111,13,FALSE),"")</f>
        <v/>
      </c>
      <c r="Y62" s="200" t="str">
        <f>IF(AND(判定!$D$4=TRUE,様式１!$G$19&lt;26),VLOOKUP("★",$A$104:$S$111,17,FALSE),"")</f>
        <v/>
      </c>
      <c r="Z62" s="200" t="s">
        <v>73</v>
      </c>
      <c r="AA62" s="200" t="str">
        <f>IF(AND(判定!$D$4=TRUE,様式１!$G$19&gt;=36),VLOOKUP("★",$A$112:$S$119,9,FALSE),"")</f>
        <v/>
      </c>
      <c r="AB62" s="200" t="str">
        <f>IF(AND(判定!$D$4=TRUE,AND(様式１!$G$19&gt;=26,様式１!$G$19&lt;36)),VLOOKUP("★",$A$112:$S$119,13,FALSE),"")</f>
        <v/>
      </c>
      <c r="AC62" s="200" t="str">
        <f>IF(AND(判定!$D$4=TRUE,様式１!$G$19&lt;26),VLOOKUP("★",$A$112:$S$119,17,FALSE),"")</f>
        <v/>
      </c>
      <c r="AD62" s="200" t="s">
        <v>73</v>
      </c>
      <c r="AE62" s="200" t="str">
        <f>IF(AND(判定!$D$4=TRUE,様式１!$G$19&gt;=36),VLOOKUP("★",$A$120:$S$127,9,FALSE),"")</f>
        <v/>
      </c>
      <c r="AF62" s="200" t="str">
        <f>IF(AND(判定!$D$4=TRUE,AND(様式１!$G$19&gt;=26,様式１!$G$19&lt;36)),VLOOKUP("★",$A$120:$S$127,13,FALSE),"")</f>
        <v/>
      </c>
      <c r="AG62" s="200" t="str">
        <f>IF(AND(判定!$D$4=TRUE,様式１!$G$19&lt;26),VLOOKUP("★",$A$120:$S$127,17,FALSE),"")</f>
        <v/>
      </c>
      <c r="AH62" s="200" t="s">
        <v>73</v>
      </c>
      <c r="AI62" s="200" t="str">
        <f>IF(AND(判定!$D$4=TRUE,様式１!$G$19&gt;=36),VLOOKUP("★",$A$128:$S$135,9,FALSE),"")</f>
        <v/>
      </c>
      <c r="AJ62" s="200" t="str">
        <f>IF(AND(判定!$D$4=TRUE,AND(様式１!$G$19&gt;=26,様式１!$G$19&lt;36)),VLOOKUP("★",$A$128:$S$135,13,FALSE),"")</f>
        <v/>
      </c>
      <c r="AK62" s="200" t="str">
        <f>IF(AND(判定!$D$4=TRUE,様式１!$G$19&lt;26),VLOOKUP("★",$A$128:$S$135,17,FALSE),"")</f>
        <v/>
      </c>
    </row>
    <row r="63" spans="1:41" x14ac:dyDescent="0.2">
      <c r="B63" s="49" t="s">
        <v>74</v>
      </c>
      <c r="C63" s="31" t="str">
        <f>IF(AND(判定!E$4=TRUE,様式１!$G$19&gt;=36),VLOOKUP("★",'計算（様式1-1）'!A7:AI55,26,FALSE),"")</f>
        <v/>
      </c>
      <c r="D63" s="48" t="str">
        <f>IF(AND(判定!E$4=TRUE,AND(様式１!$G$19&gt;=26,様式１!$G$19&lt;36)),VLOOKUP("★",'計算（様式1-1）'!$A$7:$AI$55,30,FALSE),"")</f>
        <v/>
      </c>
      <c r="E63" s="31" t="str">
        <f>IF(AND(判定!E$4=TRUE,様式１!$G$19&lt;26),VLOOKUP("★",'計算（様式1-1）'!$A$7:$AI$55,34,FALSE),"")</f>
        <v/>
      </c>
      <c r="F63" s="200" t="s">
        <v>74</v>
      </c>
      <c r="G63" s="200" t="str">
        <f>IF(AND(判定!$E$4=TRUE,様式１!$G$19&gt;=36),VLOOKUP("★",$A$72:$S$79,10,FALSE),"")</f>
        <v/>
      </c>
      <c r="H63" s="200" t="str">
        <f>IF(AND(判定!$E$4=TRUE,AND(様式１!$G$19&gt;=26,様式１!$G$19&lt;36)),VLOOKUP("★",$A$72:$S$79,14,FALSE),"")</f>
        <v/>
      </c>
      <c r="I63" s="200" t="str">
        <f>IF(AND(判定!$E$4=TRUE,様式１!$G$19&lt;26),VLOOKUP("★",$A$72:$S$79,18,FALSE),"")</f>
        <v/>
      </c>
      <c r="J63" s="200" t="s">
        <v>74</v>
      </c>
      <c r="K63" s="200" t="str">
        <f>IF(AND(判定!$E$4=TRUE,様式１!$G$19&gt;=36),VLOOKUP("★",$A$80:$S$87,10,FALSE),"")</f>
        <v/>
      </c>
      <c r="L63" s="200" t="str">
        <f>IF(AND(判定!$E$4=TRUE,AND(様式１!$G$19&gt;=26,様式１!$G$19&lt;36)),VLOOKUP("★",$A$80:$S$87,14,FALSE),"")</f>
        <v/>
      </c>
      <c r="M63" s="200" t="str">
        <f>IF(AND(判定!$E$4=TRUE,様式１!$G$19&lt;26),VLOOKUP("★",$A$80:$S$87,18,FALSE),"")</f>
        <v/>
      </c>
      <c r="N63" s="200" t="s">
        <v>74</v>
      </c>
      <c r="O63" s="200" t="str">
        <f>IF(AND(判定!$E$4=TRUE,様式１!$G$19&gt;=36),VLOOKUP("★",$A$88:$S$95,10,FALSE),"")</f>
        <v/>
      </c>
      <c r="P63" s="200" t="str">
        <f>IF(AND(判定!$E$4=TRUE,AND(様式１!$G$19&gt;=26,様式１!$G$19&lt;36)),VLOOKUP("★",$A$88:$S$95,14,FALSE),"")</f>
        <v/>
      </c>
      <c r="Q63" s="200" t="str">
        <f>IF(AND(判定!$E$4=TRUE,様式１!$G$19&lt;26),VLOOKUP("★",$A$88:$S$95,18,FALSE),"")</f>
        <v/>
      </c>
      <c r="R63" s="200" t="s">
        <v>74</v>
      </c>
      <c r="S63" s="200" t="str">
        <f>IF(AND(判定!$E$4=TRUE,様式１!$G$19&gt;=36),VLOOKUP("★",$A$96:$S$103,10,FALSE),"")</f>
        <v/>
      </c>
      <c r="T63" s="200" t="str">
        <f>IF(AND(判定!$E$4=TRUE,AND(様式１!$G$19&gt;=26,様式１!$G$19&lt;36)),VLOOKUP("★",$A$96:$S$103,14,FALSE),"")</f>
        <v/>
      </c>
      <c r="U63" s="200" t="str">
        <f>IF(AND(判定!$E$4=TRUE,様式１!$G$19&lt;26),VLOOKUP("★",$A$96:$S$103,18,FALSE),"")</f>
        <v/>
      </c>
      <c r="V63" s="200" t="s">
        <v>74</v>
      </c>
      <c r="W63" s="200" t="str">
        <f>IF(AND(判定!$E$4=TRUE,様式１!$G$19&gt;=36),VLOOKUP("★",$A$104:$S$111,10,FALSE),"")</f>
        <v/>
      </c>
      <c r="X63" s="200" t="str">
        <f>IF(AND(判定!$E$4=TRUE,AND(様式１!$G$19&gt;=26,様式１!$G$19&lt;36)),VLOOKUP("★",$A$104:$S$111,14,FALSE),"")</f>
        <v/>
      </c>
      <c r="Y63" s="200" t="str">
        <f>IF(AND(判定!$E$4=TRUE,様式１!$G$19&lt;26),VLOOKUP("★",$A$104:$S$111,18,FALSE),"")</f>
        <v/>
      </c>
      <c r="Z63" s="200" t="s">
        <v>74</v>
      </c>
      <c r="AA63" s="200" t="str">
        <f>IF(AND(判定!$E$4=TRUE,様式１!$G$19&gt;=36),VLOOKUP("★",$A$112:$S$119,10,FALSE),"")</f>
        <v/>
      </c>
      <c r="AB63" s="200" t="str">
        <f>IF(AND(判定!$E$4=TRUE,AND(様式１!$G$19&gt;=26,様式１!$G$19&lt;36)),VLOOKUP("★",$A$112:$S$119,14,FALSE),"")</f>
        <v/>
      </c>
      <c r="AC63" s="200" t="str">
        <f>IF(AND(判定!$E$4=TRUE,様式１!$G$19&lt;26),VLOOKUP("★",$A$112:$S$119,18,FALSE),"")</f>
        <v/>
      </c>
      <c r="AD63" s="200" t="s">
        <v>74</v>
      </c>
      <c r="AE63" s="200" t="str">
        <f>IF(AND(判定!$E$4=TRUE,様式１!$G$19&gt;=36),VLOOKUP("★",$A$120:$S$127,10,FALSE),"")</f>
        <v/>
      </c>
      <c r="AF63" s="200" t="str">
        <f>IF(AND(判定!$E$4=TRUE,AND(様式１!$G$19&gt;=26,様式１!$G$19&lt;36)),VLOOKUP("★",$A$120:$S$127,14,FALSE),"")</f>
        <v/>
      </c>
      <c r="AG63" s="200" t="str">
        <f>IF(AND(判定!$E$4=TRUE,様式１!$G$19&lt;26),VLOOKUP("★",$A$120:$S$127,18,FALSE),"")</f>
        <v/>
      </c>
      <c r="AH63" s="200" t="s">
        <v>74</v>
      </c>
      <c r="AI63" s="200" t="str">
        <f>IF(AND(判定!$E$4=TRUE,様式１!$G$19&gt;=36),VLOOKUP("★",$A$128:$S$135,10,FALSE),"")</f>
        <v/>
      </c>
      <c r="AJ63" s="200" t="str">
        <f>IF(AND(判定!$E$4=TRUE,AND(様式１!$G$19&gt;=26,様式１!$G$19&lt;36)),VLOOKUP("★",$A$128:$S$135,14,FALSE),"")</f>
        <v/>
      </c>
      <c r="AK63" s="200" t="str">
        <f>IF(AND(判定!$E$4=TRUE,様式１!$G$19&lt;26),VLOOKUP("★",$A$128:$S$135,18,FALSE),"")</f>
        <v/>
      </c>
    </row>
    <row r="64" spans="1:41" x14ac:dyDescent="0.2">
      <c r="B64" s="49" t="s">
        <v>75</v>
      </c>
      <c r="C64" s="31" t="str">
        <f>IF(AND(判定!F$4=TRUE,様式１!$G$19&gt;=36),VLOOKUP("★",'計算（様式1-1）'!A7:AI55,27,FALSE),"")</f>
        <v/>
      </c>
      <c r="D64" s="48" t="str">
        <f>IF(AND(判定!F$4=TRUE,AND(様式１!$G$19&gt;=26,様式１!$G$19&lt;36)),VLOOKUP("★",'計算（様式1-1）'!$A$7:$AI$55,31,FALSE),"")</f>
        <v/>
      </c>
      <c r="E64" s="31" t="str">
        <f>IF(AND(判定!F$4=TRUE,様式１!$G$19&lt;26),VLOOKUP("★",'計算（様式1-1）'!$A$7:$AI$55,35,FALSE),"")</f>
        <v/>
      </c>
      <c r="F64" s="200" t="s">
        <v>75</v>
      </c>
      <c r="G64" s="200" t="str">
        <f>IF(AND(判定!$F$4=TRUE,様式１!$G$19&gt;=36),VLOOKUP("★",$A$72:$S$79,11,FALSE),"")</f>
        <v/>
      </c>
      <c r="H64" s="200" t="str">
        <f>IF(AND(判定!$F$4=TRUE,AND(様式１!$G$19&gt;=26,様式１!$G$19&lt;36)),VLOOKUP("★",$A$72:$S$79,15,FALSE),"")</f>
        <v/>
      </c>
      <c r="I64" s="200" t="str">
        <f>IF(AND(判定!$F$4=TRUE,様式１!$G$19&lt;26),VLOOKUP("★",$A$72:$S$79,19,FALSE),"")</f>
        <v/>
      </c>
      <c r="J64" s="200" t="s">
        <v>75</v>
      </c>
      <c r="K64" s="200" t="str">
        <f>IF(AND(判定!$F$4=TRUE,様式１!$G$19&gt;=36),VLOOKUP("★",$A$80:$S$87,11,FALSE),"")</f>
        <v/>
      </c>
      <c r="L64" s="200" t="str">
        <f>IF(AND(判定!$F$4=TRUE,AND(様式１!$G$19&gt;=26,様式１!$G$19&lt;36)),VLOOKUP("★",$A$80:$S$87,15,FALSE),"")</f>
        <v/>
      </c>
      <c r="M64" s="200" t="str">
        <f>IF(AND(判定!$F$4=TRUE,様式１!$G$19&lt;26),VLOOKUP("★",$A$80:$S$87,19,FALSE),"")</f>
        <v/>
      </c>
      <c r="N64" s="200" t="s">
        <v>75</v>
      </c>
      <c r="O64" s="200" t="str">
        <f>IF(AND(判定!$F$4=TRUE,様式１!$G$19&gt;=36),VLOOKUP("★",$A$88:$S$95,11,FALSE),"")</f>
        <v/>
      </c>
      <c r="P64" s="200" t="str">
        <f>IF(AND(判定!$F$4=TRUE,AND(様式１!$G$19&gt;=26,様式１!$G$19&lt;36)),VLOOKUP("★",$A$88:$S$95,15,FALSE),"")</f>
        <v/>
      </c>
      <c r="Q64" s="200" t="str">
        <f>IF(AND(判定!$F$4=TRUE,様式１!$G$19&lt;26),VLOOKUP("★",$A$88:$S$95,19,FALSE),"")</f>
        <v/>
      </c>
      <c r="R64" s="200" t="s">
        <v>75</v>
      </c>
      <c r="S64" s="200" t="str">
        <f>IF(AND(判定!$F$4=TRUE,様式１!$G$19&gt;=36),VLOOKUP("★",$A$96:$S$103,11,FALSE),"")</f>
        <v/>
      </c>
      <c r="T64" s="200" t="str">
        <f>IF(AND(判定!$F$4=TRUE,AND(様式１!$G$19&gt;=26,様式１!$G$19&lt;36)),VLOOKUP("★",$A$96:$S$103,15,FALSE),"")</f>
        <v/>
      </c>
      <c r="U64" s="200" t="str">
        <f>IF(AND(判定!$F$4=TRUE,様式１!$G$19&lt;26),VLOOKUP("★",$A$96:$S$103,19,FALSE),"")</f>
        <v/>
      </c>
      <c r="V64" s="200" t="s">
        <v>75</v>
      </c>
      <c r="W64" s="200" t="str">
        <f>IF(AND(判定!$F$4=TRUE,様式１!$G$19&gt;=36),VLOOKUP("★",$A$104:$S$111,11,FALSE),"")</f>
        <v/>
      </c>
      <c r="X64" s="200" t="str">
        <f>IF(AND(判定!$F$4=TRUE,AND(様式１!$G$19&gt;=26,様式１!$G$19&lt;36)),VLOOKUP("★",$A$104:$S$111,15,FALSE),"")</f>
        <v/>
      </c>
      <c r="Y64" s="200" t="str">
        <f>IF(AND(判定!$F$4=TRUE,様式１!$G$19&lt;26),VLOOKUP("★",$A$104:$S$111,19,FALSE),"")</f>
        <v/>
      </c>
      <c r="Z64" s="200" t="s">
        <v>75</v>
      </c>
      <c r="AA64" s="200" t="str">
        <f>IF(AND(判定!$F$4=TRUE,様式１!$G$19&gt;=36),VLOOKUP("★",$A$112:$S$119,11,FALSE),"")</f>
        <v/>
      </c>
      <c r="AB64" s="200" t="str">
        <f>IF(AND(判定!$F$4=TRUE,AND(様式１!$G$19&gt;=26,様式１!$G$19&lt;36)),VLOOKUP("★",$A$112:$S$119,15,FALSE),"")</f>
        <v/>
      </c>
      <c r="AC64" s="200" t="str">
        <f>IF(AND(判定!$F$4=TRUE,様式１!$G$19&lt;26),VLOOKUP("★",$A$112:$S$119,19,FALSE),"")</f>
        <v/>
      </c>
      <c r="AD64" s="200" t="s">
        <v>75</v>
      </c>
      <c r="AE64" s="200" t="str">
        <f>IF(AND(判定!$F$4=TRUE,様式１!$G$19&gt;=36),VLOOKUP("★",$A$120:$S$127,11,FALSE),"")</f>
        <v/>
      </c>
      <c r="AF64" s="200" t="str">
        <f>IF(AND(判定!$F$4=TRUE,AND(様式１!$G$19&gt;=26,様式１!$G$19&lt;36)),VLOOKUP("★",$A$120:$S$127,15,FALSE),"")</f>
        <v/>
      </c>
      <c r="AG64" s="200" t="str">
        <f>IF(AND(判定!$F$4=TRUE,様式１!$G$19&lt;26),VLOOKUP("★",$A$120:$S$127,19,FALSE),"")</f>
        <v/>
      </c>
      <c r="AH64" s="200" t="s">
        <v>75</v>
      </c>
      <c r="AI64" s="200" t="str">
        <f>IF(AND(判定!$F$4=TRUE,様式１!$G$19&gt;=36),VLOOKUP("★",$A$128:$S$135,11,FALSE),"")</f>
        <v/>
      </c>
      <c r="AJ64" s="200" t="str">
        <f>IF(AND(判定!$F$4=TRUE,AND(様式１!$G$19&gt;=26,様式１!$G$19&lt;36)),VLOOKUP("★",$A$128:$S$135,15,FALSE),"")</f>
        <v/>
      </c>
      <c r="AK64" s="200" t="str">
        <f>IF(AND(判定!$F$4=TRUE,様式１!$G$19&lt;26),VLOOKUP("★",$A$128:$S$135,19,FALSE),"")</f>
        <v/>
      </c>
      <c r="AM64" s="45"/>
      <c r="AN64" s="45"/>
      <c r="AO64" s="45"/>
    </row>
    <row r="65" spans="1:41" ht="19" x14ac:dyDescent="0.2">
      <c r="B65" s="467">
        <f>SUMIF(C61:E64,"&lt;&gt;#N/A")</f>
        <v>0</v>
      </c>
      <c r="C65" s="468"/>
      <c r="D65" s="468"/>
      <c r="E65" s="469"/>
      <c r="F65" s="451">
        <f>SUMIF(G61:AK64,"&lt;&gt;#N/A")</f>
        <v>0</v>
      </c>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3"/>
      <c r="AM65" s="153"/>
      <c r="AN65" s="152"/>
      <c r="AO65" s="152"/>
    </row>
    <row r="66" spans="1:41" ht="14.5" thickBot="1" x14ac:dyDescent="0.25">
      <c r="AM66" s="45"/>
      <c r="AN66" s="45"/>
    </row>
    <row r="67" spans="1:41" ht="19.5" thickBot="1" x14ac:dyDescent="0.25">
      <c r="B67" s="464" t="s">
        <v>150</v>
      </c>
      <c r="C67" s="465"/>
      <c r="D67" s="465"/>
      <c r="E67" s="465"/>
      <c r="F67" s="465"/>
      <c r="G67" s="38">
        <f>IF(B65=0,F65,B65)</f>
        <v>0</v>
      </c>
      <c r="H67" s="36" t="s">
        <v>53</v>
      </c>
      <c r="I67" s="39">
        <f>様式１!M20</f>
        <v>0</v>
      </c>
      <c r="J67" s="39" t="s">
        <v>105</v>
      </c>
      <c r="K67" s="37">
        <f>ROUND(G67*I67,0)</f>
        <v>0</v>
      </c>
      <c r="L67" s="148"/>
    </row>
    <row r="69" spans="1:41" x14ac:dyDescent="0.2">
      <c r="A69" s="9">
        <v>1</v>
      </c>
      <c r="B69" s="9">
        <v>2</v>
      </c>
      <c r="C69" s="9">
        <v>3</v>
      </c>
      <c r="D69" s="9">
        <v>4</v>
      </c>
      <c r="E69" s="9">
        <v>5</v>
      </c>
      <c r="F69" s="9">
        <v>6</v>
      </c>
      <c r="G69" s="9">
        <v>7</v>
      </c>
      <c r="H69" s="9">
        <v>8</v>
      </c>
      <c r="I69" s="9">
        <v>9</v>
      </c>
      <c r="J69" s="9">
        <v>10</v>
      </c>
      <c r="K69" s="9">
        <v>11</v>
      </c>
      <c r="L69" s="9">
        <v>12</v>
      </c>
      <c r="M69" s="9">
        <v>13</v>
      </c>
      <c r="N69" s="9">
        <v>14</v>
      </c>
      <c r="O69" s="9">
        <v>15</v>
      </c>
      <c r="P69" s="9">
        <v>16</v>
      </c>
      <c r="Q69" s="9">
        <v>17</v>
      </c>
      <c r="R69" s="9">
        <v>18</v>
      </c>
      <c r="S69" s="9">
        <v>19</v>
      </c>
      <c r="AK69" s="9"/>
      <c r="AL69" s="9"/>
    </row>
    <row r="70" spans="1:41" x14ac:dyDescent="0.2">
      <c r="D70" s="467" t="s">
        <v>143</v>
      </c>
      <c r="E70" s="468"/>
      <c r="F70" s="468"/>
      <c r="G70" s="469"/>
      <c r="H70" s="439" t="s">
        <v>70</v>
      </c>
      <c r="I70" s="440"/>
      <c r="J70" s="440"/>
      <c r="K70" s="441"/>
      <c r="L70" s="439" t="s">
        <v>71</v>
      </c>
      <c r="M70" s="440"/>
      <c r="N70" s="440"/>
      <c r="O70" s="441"/>
      <c r="P70" s="439" t="s">
        <v>72</v>
      </c>
      <c r="Q70" s="440"/>
      <c r="R70" s="440"/>
      <c r="S70" s="441"/>
      <c r="T70" s="151"/>
      <c r="U70" s="6"/>
      <c r="V70" s="6"/>
      <c r="W70" s="6"/>
      <c r="X70" s="6"/>
      <c r="Y70" s="6"/>
      <c r="Z70" s="6"/>
      <c r="AA70" s="6"/>
      <c r="AB70" s="6"/>
      <c r="AC70" s="6"/>
      <c r="AD70" s="6"/>
      <c r="AE70" s="6"/>
      <c r="AF70" s="6"/>
      <c r="AG70" s="6"/>
      <c r="AH70" s="6"/>
      <c r="AI70" s="6"/>
      <c r="AJ70" s="6"/>
    </row>
    <row r="71" spans="1:41" x14ac:dyDescent="0.2">
      <c r="A71" s="65" t="str">
        <f>IF(AND('様式１－１'!$C$25="☑",'様式１－１'!$C$28="□",'様式１－１'!$C$29="□",'様式１－１'!$C$30="□"),"★","")</f>
        <v/>
      </c>
      <c r="C71" s="460" t="s">
        <v>144</v>
      </c>
      <c r="D71" s="68" t="s">
        <v>42</v>
      </c>
      <c r="E71" s="69" t="s">
        <v>58</v>
      </c>
      <c r="F71" s="69" t="s">
        <v>106</v>
      </c>
      <c r="G71" s="70" t="s">
        <v>59</v>
      </c>
      <c r="H71" s="155">
        <v>2</v>
      </c>
      <c r="I71" s="104">
        <v>3</v>
      </c>
      <c r="J71" s="104">
        <v>4</v>
      </c>
      <c r="K71" s="105">
        <v>5</v>
      </c>
      <c r="L71" s="205">
        <v>2</v>
      </c>
      <c r="M71" s="149">
        <v>3</v>
      </c>
      <c r="N71" s="104">
        <v>4</v>
      </c>
      <c r="O71" s="105">
        <v>5</v>
      </c>
      <c r="P71" s="205">
        <v>2</v>
      </c>
      <c r="Q71" s="149">
        <v>3</v>
      </c>
      <c r="R71" s="104">
        <v>4</v>
      </c>
      <c r="S71" s="105">
        <v>5</v>
      </c>
      <c r="T71" s="6"/>
      <c r="U71" s="6"/>
      <c r="V71" s="6"/>
      <c r="W71" s="6"/>
      <c r="X71" s="6"/>
      <c r="Y71" s="6"/>
      <c r="Z71" s="6"/>
      <c r="AA71" s="6"/>
      <c r="AB71" s="6"/>
      <c r="AC71" s="6"/>
      <c r="AD71" s="6"/>
      <c r="AE71" s="6"/>
      <c r="AF71" s="6"/>
      <c r="AG71" s="6"/>
      <c r="AH71" s="6"/>
      <c r="AI71" s="6"/>
      <c r="AJ71" s="6"/>
    </row>
    <row r="72" spans="1:41" x14ac:dyDescent="0.2">
      <c r="A72" s="65" t="str">
        <f>IF(AND('様式１－１'!$C$25="☑",'様式１－１'!$C$28="☑",'様式１－１'!$C$29="□",'様式１－１'!$C$30="□"),"★","")</f>
        <v/>
      </c>
      <c r="B72" s="106" t="s">
        <v>126</v>
      </c>
      <c r="C72" s="461"/>
      <c r="D72" s="68" t="s">
        <v>61</v>
      </c>
      <c r="E72" s="69"/>
      <c r="F72" s="69"/>
      <c r="G72" s="70"/>
      <c r="H72" s="68">
        <v>14.8</v>
      </c>
      <c r="I72" s="150">
        <v>14.8</v>
      </c>
      <c r="J72" s="108">
        <v>12</v>
      </c>
      <c r="K72" s="109">
        <v>9.4</v>
      </c>
      <c r="L72" s="107">
        <v>10.3</v>
      </c>
      <c r="M72" s="150">
        <v>10.3</v>
      </c>
      <c r="N72" s="108">
        <v>7.8</v>
      </c>
      <c r="O72" s="109">
        <v>8.6999999999999993</v>
      </c>
      <c r="P72" s="107">
        <v>9</v>
      </c>
      <c r="Q72" s="150">
        <v>9</v>
      </c>
      <c r="R72" s="108">
        <v>6.7</v>
      </c>
      <c r="S72" s="109">
        <v>7.7</v>
      </c>
      <c r="T72" s="6"/>
      <c r="U72" s="6"/>
      <c r="V72" s="6"/>
      <c r="W72" s="6"/>
      <c r="X72" s="6"/>
      <c r="Y72" s="6"/>
      <c r="Z72" s="6"/>
      <c r="AA72" s="6"/>
      <c r="AB72" s="6"/>
      <c r="AC72" s="6"/>
      <c r="AD72" s="6"/>
      <c r="AE72" s="6"/>
      <c r="AF72" s="6"/>
      <c r="AG72" s="6"/>
      <c r="AH72" s="6"/>
      <c r="AI72" s="6"/>
      <c r="AJ72" s="6"/>
    </row>
    <row r="73" spans="1:41" x14ac:dyDescent="0.2">
      <c r="A73" s="65" t="str">
        <f>IF(AND('様式１－１'!$C$25="☑",'様式１－１'!$C$28="□",'様式１－１'!$C$29="☑",'様式１－１'!$C$30="□"),"★","")</f>
        <v/>
      </c>
      <c r="B73" s="106"/>
      <c r="C73" s="461"/>
      <c r="D73" s="68" t="s">
        <v>61</v>
      </c>
      <c r="E73" s="69" t="s">
        <v>61</v>
      </c>
      <c r="F73" s="69"/>
      <c r="G73" s="70"/>
      <c r="H73" s="68">
        <v>20.6</v>
      </c>
      <c r="I73" s="150">
        <v>20.6</v>
      </c>
      <c r="J73" s="108">
        <v>16.399999999999999</v>
      </c>
      <c r="K73" s="109">
        <v>14.1</v>
      </c>
      <c r="L73" s="107">
        <v>12.5</v>
      </c>
      <c r="M73" s="150">
        <v>12.5</v>
      </c>
      <c r="N73" s="108">
        <v>9</v>
      </c>
      <c r="O73" s="109">
        <v>7.2</v>
      </c>
      <c r="P73" s="107">
        <v>9.3000000000000007</v>
      </c>
      <c r="Q73" s="150">
        <v>9.3000000000000007</v>
      </c>
      <c r="R73" s="108">
        <v>6.4</v>
      </c>
      <c r="S73" s="109">
        <v>4.8</v>
      </c>
      <c r="T73" s="6"/>
      <c r="U73" s="6"/>
      <c r="V73" s="6"/>
      <c r="W73" s="6"/>
      <c r="X73" s="6"/>
      <c r="Y73" s="6"/>
      <c r="Z73" s="6"/>
      <c r="AA73" s="6"/>
      <c r="AB73" s="6"/>
      <c r="AC73" s="6"/>
      <c r="AD73" s="6"/>
      <c r="AE73" s="6"/>
      <c r="AF73" s="6"/>
      <c r="AG73" s="6"/>
      <c r="AH73" s="6"/>
      <c r="AI73" s="6"/>
      <c r="AJ73" s="6"/>
    </row>
    <row r="74" spans="1:41" x14ac:dyDescent="0.2">
      <c r="A74" s="65" t="str">
        <f>IF(AND('様式１－１'!$C$25="☑",'様式１－１'!$C$28="□",'様式１－１'!$C$29="□",'様式１－１'!$C$30="☑"),"★","")</f>
        <v/>
      </c>
      <c r="B74" s="106"/>
      <c r="C74" s="461"/>
      <c r="D74" s="68" t="s">
        <v>61</v>
      </c>
      <c r="E74" s="69"/>
      <c r="F74" s="69" t="s">
        <v>61</v>
      </c>
      <c r="G74" s="70"/>
      <c r="H74" s="68">
        <v>15.3</v>
      </c>
      <c r="I74" s="150">
        <v>15.3</v>
      </c>
      <c r="J74" s="108">
        <v>12.2</v>
      </c>
      <c r="K74" s="109">
        <v>10.5</v>
      </c>
      <c r="L74" s="107">
        <v>8.1999999999999993</v>
      </c>
      <c r="M74" s="150">
        <v>8.1999999999999993</v>
      </c>
      <c r="N74" s="108">
        <v>5.6</v>
      </c>
      <c r="O74" s="109">
        <v>4.2</v>
      </c>
      <c r="P74" s="107">
        <v>5.6</v>
      </c>
      <c r="Q74" s="150">
        <v>5.6</v>
      </c>
      <c r="R74" s="108">
        <v>3.4</v>
      </c>
      <c r="S74" s="109">
        <v>2.2000000000000002</v>
      </c>
      <c r="T74" s="6"/>
      <c r="U74" s="6"/>
      <c r="V74" s="6"/>
      <c r="W74" s="6"/>
      <c r="X74" s="6"/>
      <c r="Y74" s="6"/>
      <c r="Z74" s="6"/>
      <c r="AA74" s="6"/>
      <c r="AB74" s="6"/>
      <c r="AC74" s="6"/>
      <c r="AD74" s="6"/>
      <c r="AE74" s="6"/>
      <c r="AF74" s="6"/>
      <c r="AG74" s="6"/>
      <c r="AH74" s="6"/>
      <c r="AI74" s="6"/>
      <c r="AJ74" s="6"/>
    </row>
    <row r="75" spans="1:41" x14ac:dyDescent="0.2">
      <c r="A75" s="65" t="str">
        <f>IF(AND('様式１－１'!$C$25="☑",'様式１－１'!$C$28="☑",'様式１－１'!$C$29="☑",'様式１－１'!$C$30="□"),"★","")</f>
        <v/>
      </c>
      <c r="B75" s="106"/>
      <c r="C75" s="461"/>
      <c r="D75" s="68" t="s">
        <v>60</v>
      </c>
      <c r="E75" s="69"/>
      <c r="F75" s="69"/>
      <c r="G75" s="70" t="s">
        <v>61</v>
      </c>
      <c r="H75" s="68">
        <v>15.4</v>
      </c>
      <c r="I75" s="150">
        <v>15.4</v>
      </c>
      <c r="J75" s="108">
        <v>12.3</v>
      </c>
      <c r="K75" s="109">
        <v>10.6</v>
      </c>
      <c r="L75" s="107">
        <v>8.3000000000000007</v>
      </c>
      <c r="M75" s="150">
        <v>8.3000000000000007</v>
      </c>
      <c r="N75" s="108">
        <v>5.7</v>
      </c>
      <c r="O75" s="109">
        <v>4.3</v>
      </c>
      <c r="P75" s="107">
        <v>5.7</v>
      </c>
      <c r="Q75" s="150">
        <v>5.7</v>
      </c>
      <c r="R75" s="108">
        <v>3.5</v>
      </c>
      <c r="S75" s="109">
        <v>2.2999999999999998</v>
      </c>
      <c r="T75" s="6"/>
      <c r="U75" s="6"/>
      <c r="V75" s="6"/>
      <c r="W75" s="6"/>
      <c r="X75" s="6"/>
      <c r="Y75" s="6"/>
      <c r="Z75" s="6"/>
      <c r="AA75" s="6"/>
      <c r="AB75" s="6"/>
      <c r="AC75" s="6"/>
      <c r="AD75" s="6"/>
      <c r="AE75" s="6"/>
      <c r="AF75" s="6"/>
      <c r="AG75" s="6"/>
      <c r="AH75" s="6"/>
      <c r="AI75" s="6"/>
      <c r="AJ75" s="6"/>
    </row>
    <row r="76" spans="1:41" x14ac:dyDescent="0.2">
      <c r="A76" s="65" t="str">
        <f>IF(AND('様式１－１'!$C$25="☑",'様式１－１'!$C$28="☑",'様式１－１'!$C$29="□",'様式１－１'!$C$30="☑"),"★","")</f>
        <v/>
      </c>
      <c r="B76" s="106"/>
      <c r="C76" s="461"/>
      <c r="D76" s="68" t="s">
        <v>60</v>
      </c>
      <c r="E76" s="69" t="s">
        <v>61</v>
      </c>
      <c r="F76" s="69" t="s">
        <v>61</v>
      </c>
      <c r="G76" s="70"/>
      <c r="H76" s="68">
        <v>22.7</v>
      </c>
      <c r="I76" s="150">
        <v>22.7</v>
      </c>
      <c r="J76" s="108">
        <v>18.100000000000001</v>
      </c>
      <c r="K76" s="109">
        <v>15.5</v>
      </c>
      <c r="L76" s="107">
        <v>14.3</v>
      </c>
      <c r="M76" s="150">
        <v>14.3</v>
      </c>
      <c r="N76" s="108">
        <v>10.4</v>
      </c>
      <c r="O76" s="109">
        <v>8.4</v>
      </c>
      <c r="P76" s="107">
        <v>10.8</v>
      </c>
      <c r="Q76" s="150">
        <v>10.8</v>
      </c>
      <c r="R76" s="108">
        <v>7.5</v>
      </c>
      <c r="S76" s="109">
        <v>5.8</v>
      </c>
      <c r="T76" s="6"/>
      <c r="U76" s="6"/>
      <c r="V76" s="6"/>
      <c r="W76" s="6"/>
      <c r="X76" s="6"/>
      <c r="Y76" s="6"/>
      <c r="Z76" s="6"/>
      <c r="AA76" s="6"/>
      <c r="AB76" s="6"/>
      <c r="AC76" s="6"/>
      <c r="AD76" s="6"/>
      <c r="AE76" s="6"/>
      <c r="AF76" s="6"/>
      <c r="AG76" s="6"/>
      <c r="AH76" s="6"/>
      <c r="AI76" s="6"/>
      <c r="AJ76" s="6"/>
    </row>
    <row r="77" spans="1:41" x14ac:dyDescent="0.2">
      <c r="A77" s="65" t="str">
        <f>IF(AND('様式１－１'!$C$25="☑",'様式１－１'!$C$28="□",'様式１－１'!$C$29="☑",'様式１－１'!$C$30="☑"),"★","")</f>
        <v/>
      </c>
      <c r="B77" s="106"/>
      <c r="C77" s="461"/>
      <c r="D77" s="68" t="s">
        <v>60</v>
      </c>
      <c r="E77" s="69" t="s">
        <v>61</v>
      </c>
      <c r="F77" s="69"/>
      <c r="G77" s="70" t="s">
        <v>61</v>
      </c>
      <c r="H77" s="68">
        <v>22.9</v>
      </c>
      <c r="I77" s="150">
        <v>22.9</v>
      </c>
      <c r="J77" s="108">
        <v>18.2</v>
      </c>
      <c r="K77" s="109">
        <v>15.7</v>
      </c>
      <c r="L77" s="107">
        <v>14.5</v>
      </c>
      <c r="M77" s="150">
        <v>14.5</v>
      </c>
      <c r="N77" s="108">
        <v>10.6</v>
      </c>
      <c r="O77" s="109">
        <v>8.5</v>
      </c>
      <c r="P77" s="107">
        <v>10.9</v>
      </c>
      <c r="Q77" s="150">
        <v>10.9</v>
      </c>
      <c r="R77" s="108">
        <v>7.7</v>
      </c>
      <c r="S77" s="109">
        <v>5.9</v>
      </c>
      <c r="T77" s="6"/>
      <c r="U77" s="6"/>
      <c r="V77" s="6"/>
      <c r="W77" s="6"/>
      <c r="X77" s="6"/>
      <c r="Y77" s="6"/>
      <c r="Z77" s="6"/>
      <c r="AA77" s="6"/>
      <c r="AB77" s="6"/>
      <c r="AC77" s="6"/>
      <c r="AD77" s="6"/>
      <c r="AE77" s="6"/>
      <c r="AF77" s="6"/>
      <c r="AG77" s="6"/>
      <c r="AH77" s="6"/>
      <c r="AI77" s="6"/>
      <c r="AJ77" s="6"/>
    </row>
    <row r="78" spans="1:41" x14ac:dyDescent="0.2">
      <c r="A78" s="65" t="str">
        <f>IF(AND('様式１－１'!$C$25="☑",'様式１－１'!$C$28="☑",'様式１－１'!$C$29="☑",'様式１－１'!$C$30="☑"),"★","")</f>
        <v/>
      </c>
      <c r="B78" s="106"/>
      <c r="C78" s="461"/>
      <c r="D78" s="68" t="s">
        <v>60</v>
      </c>
      <c r="E78" s="69"/>
      <c r="F78" s="69" t="s">
        <v>61</v>
      </c>
      <c r="G78" s="70" t="s">
        <v>61</v>
      </c>
      <c r="H78" s="68">
        <v>17.5</v>
      </c>
      <c r="I78" s="150">
        <v>17.5</v>
      </c>
      <c r="J78" s="108">
        <v>13.9</v>
      </c>
      <c r="K78" s="109">
        <v>12</v>
      </c>
      <c r="L78" s="107">
        <v>10</v>
      </c>
      <c r="M78" s="150">
        <v>10</v>
      </c>
      <c r="N78" s="108">
        <v>7</v>
      </c>
      <c r="O78" s="109">
        <v>5.4</v>
      </c>
      <c r="P78" s="107">
        <v>7.2</v>
      </c>
      <c r="Q78" s="150">
        <v>7.2</v>
      </c>
      <c r="R78" s="108">
        <v>4.5999999999999996</v>
      </c>
      <c r="S78" s="109">
        <v>3.3</v>
      </c>
      <c r="T78" s="6"/>
      <c r="U78" s="6"/>
      <c r="V78" s="6"/>
      <c r="W78" s="6"/>
      <c r="X78" s="6"/>
      <c r="Y78" s="6"/>
      <c r="Z78" s="6"/>
      <c r="AA78" s="6"/>
      <c r="AB78" s="6"/>
      <c r="AC78" s="6"/>
      <c r="AD78" s="6"/>
      <c r="AE78" s="6"/>
      <c r="AF78" s="6"/>
      <c r="AG78" s="6"/>
      <c r="AH78" s="6"/>
      <c r="AI78" s="6"/>
      <c r="AJ78" s="6"/>
    </row>
    <row r="79" spans="1:41" x14ac:dyDescent="0.2">
      <c r="A79" s="65" t="str">
        <f>IF(AND('様式１－１'!$C$32="☑",'様式１－１'!$C$35="□",'様式１－１'!$C$36="□",'様式１－１'!$C$37="□"),"★","")</f>
        <v/>
      </c>
      <c r="C79" s="462"/>
      <c r="D79" s="68" t="s">
        <v>61</v>
      </c>
      <c r="E79" s="69" t="s">
        <v>61</v>
      </c>
      <c r="F79" s="69" t="s">
        <v>61</v>
      </c>
      <c r="G79" s="70" t="s">
        <v>61</v>
      </c>
      <c r="H79" s="68">
        <v>25.1</v>
      </c>
      <c r="I79" s="150">
        <v>25.1</v>
      </c>
      <c r="J79" s="108">
        <v>20</v>
      </c>
      <c r="K79" s="109">
        <v>17.2</v>
      </c>
      <c r="L79" s="107">
        <v>16.3</v>
      </c>
      <c r="M79" s="150">
        <v>16.3</v>
      </c>
      <c r="N79" s="108">
        <v>12</v>
      </c>
      <c r="O79" s="109">
        <v>9.6999999999999993</v>
      </c>
      <c r="P79" s="107">
        <v>12.5</v>
      </c>
      <c r="Q79" s="150">
        <v>12.5</v>
      </c>
      <c r="R79" s="108">
        <v>8.9</v>
      </c>
      <c r="S79" s="109">
        <v>6.9</v>
      </c>
      <c r="T79" s="6"/>
      <c r="U79" s="6"/>
      <c r="V79" s="6"/>
      <c r="W79" s="6"/>
      <c r="X79" s="6"/>
      <c r="Y79" s="6"/>
      <c r="Z79" s="6"/>
      <c r="AA79" s="6"/>
      <c r="AB79" s="6"/>
      <c r="AC79" s="6"/>
      <c r="AD79" s="6"/>
      <c r="AE79" s="6"/>
      <c r="AF79" s="6"/>
      <c r="AG79" s="6"/>
      <c r="AH79" s="6"/>
      <c r="AI79" s="6"/>
      <c r="AJ79" s="6"/>
    </row>
    <row r="80" spans="1:41" x14ac:dyDescent="0.2">
      <c r="A80" s="65" t="str">
        <f>IF(AND('様式１－１'!$C$32="☑",'様式１－１'!$C$35="☑",'様式１－１'!$C$36="□",'様式１－１'!$C$37="□"),"★","")</f>
        <v/>
      </c>
      <c r="B80" s="106" t="s">
        <v>127</v>
      </c>
      <c r="C80" s="460" t="s">
        <v>145</v>
      </c>
      <c r="D80" s="68" t="s">
        <v>61</v>
      </c>
      <c r="E80" s="69"/>
      <c r="F80" s="69"/>
      <c r="G80" s="70"/>
      <c r="H80" s="68">
        <v>14.8</v>
      </c>
      <c r="I80" s="150">
        <v>14.8</v>
      </c>
      <c r="J80" s="108">
        <v>12</v>
      </c>
      <c r="K80" s="109">
        <v>9.4</v>
      </c>
      <c r="L80" s="107">
        <v>10.3</v>
      </c>
      <c r="M80" s="150">
        <v>10.3</v>
      </c>
      <c r="N80" s="108">
        <v>7.8</v>
      </c>
      <c r="O80" s="109">
        <v>8.6999999999999993</v>
      </c>
      <c r="P80" s="107">
        <v>9</v>
      </c>
      <c r="Q80" s="150">
        <v>9</v>
      </c>
      <c r="R80" s="108">
        <v>6.7</v>
      </c>
      <c r="S80" s="109">
        <v>7.7</v>
      </c>
      <c r="AK80" s="9"/>
    </row>
    <row r="81" spans="1:37" x14ac:dyDescent="0.2">
      <c r="A81" s="65" t="str">
        <f>IF(AND('様式１－１'!$C$32="☑",'様式１－１'!$C$35="□",'様式１－１'!$C$36="☑",'様式１－１'!$C$37="□"),"★","")</f>
        <v/>
      </c>
      <c r="B81" s="106"/>
      <c r="C81" s="461"/>
      <c r="D81" s="68" t="s">
        <v>61</v>
      </c>
      <c r="E81" s="69" t="s">
        <v>61</v>
      </c>
      <c r="F81" s="69"/>
      <c r="G81" s="70"/>
      <c r="H81" s="68">
        <v>20.6</v>
      </c>
      <c r="I81" s="150">
        <v>20.6</v>
      </c>
      <c r="J81" s="108">
        <v>16.399999999999999</v>
      </c>
      <c r="K81" s="109">
        <v>14.1</v>
      </c>
      <c r="L81" s="107">
        <v>12.5</v>
      </c>
      <c r="M81" s="150">
        <v>12.5</v>
      </c>
      <c r="N81" s="108">
        <v>9</v>
      </c>
      <c r="O81" s="109">
        <v>7.2</v>
      </c>
      <c r="P81" s="107">
        <v>9.3000000000000007</v>
      </c>
      <c r="Q81" s="150">
        <v>9.3000000000000007</v>
      </c>
      <c r="R81" s="108">
        <v>6.4</v>
      </c>
      <c r="S81" s="109">
        <v>4.8</v>
      </c>
      <c r="AK81" s="9"/>
    </row>
    <row r="82" spans="1:37" x14ac:dyDescent="0.2">
      <c r="A82" s="65" t="str">
        <f>IF(AND('様式１－１'!$C$32="☑",'様式１－１'!$C$35="□",'様式１－１'!$C$36="□",'様式１－１'!$C$37="☑"),"★","")</f>
        <v/>
      </c>
      <c r="B82" s="106"/>
      <c r="C82" s="461"/>
      <c r="D82" s="68" t="s">
        <v>61</v>
      </c>
      <c r="E82" s="69"/>
      <c r="F82" s="69" t="s">
        <v>61</v>
      </c>
      <c r="G82" s="70"/>
      <c r="H82" s="68">
        <v>15.3</v>
      </c>
      <c r="I82" s="150">
        <v>15.3</v>
      </c>
      <c r="J82" s="108">
        <v>12.2</v>
      </c>
      <c r="K82" s="109">
        <v>10.5</v>
      </c>
      <c r="L82" s="107">
        <v>8.1999999999999993</v>
      </c>
      <c r="M82" s="150">
        <v>8.1999999999999993</v>
      </c>
      <c r="N82" s="108">
        <v>5.6</v>
      </c>
      <c r="O82" s="109">
        <v>4.2</v>
      </c>
      <c r="P82" s="107">
        <v>5.6</v>
      </c>
      <c r="Q82" s="150">
        <v>5.6</v>
      </c>
      <c r="R82" s="108">
        <v>3.4</v>
      </c>
      <c r="S82" s="109">
        <v>2.2000000000000002</v>
      </c>
      <c r="AK82" s="9"/>
    </row>
    <row r="83" spans="1:37" x14ac:dyDescent="0.2">
      <c r="A83" s="65" t="str">
        <f>IF(AND('様式１－１'!$C$32="☑",'様式１－１'!$C$35="☑",'様式１－１'!$C$36="☑",'様式１－１'!$C$37="□"),"★","")</f>
        <v/>
      </c>
      <c r="B83" s="106"/>
      <c r="C83" s="461"/>
      <c r="D83" s="68" t="s">
        <v>60</v>
      </c>
      <c r="E83" s="69"/>
      <c r="F83" s="69"/>
      <c r="G83" s="70" t="s">
        <v>61</v>
      </c>
      <c r="H83" s="68">
        <v>15.4</v>
      </c>
      <c r="I83" s="150">
        <v>15.4</v>
      </c>
      <c r="J83" s="108">
        <v>12.3</v>
      </c>
      <c r="K83" s="109">
        <v>10.6</v>
      </c>
      <c r="L83" s="107">
        <v>8.3000000000000007</v>
      </c>
      <c r="M83" s="150">
        <v>8.3000000000000007</v>
      </c>
      <c r="N83" s="108">
        <v>5.7</v>
      </c>
      <c r="O83" s="109">
        <v>4.3</v>
      </c>
      <c r="P83" s="107">
        <v>5.7</v>
      </c>
      <c r="Q83" s="150">
        <v>5.7</v>
      </c>
      <c r="R83" s="108">
        <v>3.5</v>
      </c>
      <c r="S83" s="109">
        <v>2.2999999999999998</v>
      </c>
      <c r="AK83" s="9"/>
    </row>
    <row r="84" spans="1:37" x14ac:dyDescent="0.2">
      <c r="A84" s="65" t="str">
        <f>IF(AND('様式１－１'!$C$32="☑",'様式１－１'!$C$35="☑",'様式１－１'!$C$36="□",'様式１－１'!$C$37="☑"),"★","")</f>
        <v/>
      </c>
      <c r="B84" s="106"/>
      <c r="C84" s="461"/>
      <c r="D84" s="68" t="s">
        <v>60</v>
      </c>
      <c r="E84" s="69" t="s">
        <v>61</v>
      </c>
      <c r="F84" s="69" t="s">
        <v>61</v>
      </c>
      <c r="G84" s="70"/>
      <c r="H84" s="68">
        <v>22.7</v>
      </c>
      <c r="I84" s="150">
        <v>22.7</v>
      </c>
      <c r="J84" s="108">
        <v>18.100000000000001</v>
      </c>
      <c r="K84" s="109">
        <v>15.5</v>
      </c>
      <c r="L84" s="107">
        <v>14.3</v>
      </c>
      <c r="M84" s="150">
        <v>14.3</v>
      </c>
      <c r="N84" s="108">
        <v>10.4</v>
      </c>
      <c r="O84" s="109">
        <v>8.4</v>
      </c>
      <c r="P84" s="107">
        <v>10.8</v>
      </c>
      <c r="Q84" s="150">
        <v>10.8</v>
      </c>
      <c r="R84" s="108">
        <v>7.5</v>
      </c>
      <c r="S84" s="109">
        <v>5.8</v>
      </c>
      <c r="AK84" s="9"/>
    </row>
    <row r="85" spans="1:37" x14ac:dyDescent="0.2">
      <c r="A85" s="65" t="str">
        <f>IF(AND('様式１－１'!$C$32="☑",'様式１－１'!$C$35="□",'様式１－１'!$C$36="☑",'様式１－１'!$C$37="☑"),"★","")</f>
        <v/>
      </c>
      <c r="B85" s="106"/>
      <c r="C85" s="461"/>
      <c r="D85" s="68" t="s">
        <v>60</v>
      </c>
      <c r="E85" s="69" t="s">
        <v>61</v>
      </c>
      <c r="F85" s="69"/>
      <c r="G85" s="70" t="s">
        <v>61</v>
      </c>
      <c r="H85" s="68">
        <v>22.9</v>
      </c>
      <c r="I85" s="150">
        <v>22.9</v>
      </c>
      <c r="J85" s="108">
        <v>18.2</v>
      </c>
      <c r="K85" s="109">
        <v>15.7</v>
      </c>
      <c r="L85" s="107">
        <v>14.5</v>
      </c>
      <c r="M85" s="150">
        <v>14.5</v>
      </c>
      <c r="N85" s="108">
        <v>10.6</v>
      </c>
      <c r="O85" s="109">
        <v>8.5</v>
      </c>
      <c r="P85" s="107">
        <v>10.9</v>
      </c>
      <c r="Q85" s="150">
        <v>10.9</v>
      </c>
      <c r="R85" s="108">
        <v>7.7</v>
      </c>
      <c r="S85" s="109">
        <v>5.9</v>
      </c>
      <c r="AK85" s="9"/>
    </row>
    <row r="86" spans="1:37" x14ac:dyDescent="0.2">
      <c r="A86" s="65" t="str">
        <f>IF(AND('様式１－１'!$C$32="☑",'様式１－１'!$C$35="☑",'様式１－１'!$C$36="☑",'様式１－１'!$C$37="☑"),"★","")</f>
        <v/>
      </c>
      <c r="B86" s="106"/>
      <c r="C86" s="461"/>
      <c r="D86" s="68" t="s">
        <v>60</v>
      </c>
      <c r="E86" s="69"/>
      <c r="F86" s="69" t="s">
        <v>61</v>
      </c>
      <c r="G86" s="70" t="s">
        <v>61</v>
      </c>
      <c r="H86" s="68">
        <v>17.5</v>
      </c>
      <c r="I86" s="150">
        <v>17.5</v>
      </c>
      <c r="J86" s="108">
        <v>13.9</v>
      </c>
      <c r="K86" s="109">
        <v>12</v>
      </c>
      <c r="L86" s="107">
        <v>10</v>
      </c>
      <c r="M86" s="150">
        <v>10</v>
      </c>
      <c r="N86" s="108">
        <v>7</v>
      </c>
      <c r="O86" s="109">
        <v>5.4</v>
      </c>
      <c r="P86" s="107">
        <v>7.2</v>
      </c>
      <c r="Q86" s="150">
        <v>7.2</v>
      </c>
      <c r="R86" s="108">
        <v>4.5999999999999996</v>
      </c>
      <c r="S86" s="109">
        <v>3.3</v>
      </c>
      <c r="AK86" s="9"/>
    </row>
    <row r="87" spans="1:37" x14ac:dyDescent="0.2">
      <c r="A87" s="65" t="str">
        <f>IF(AND('様式１－１'!$C$39="☑",'様式１－１'!$C$42="□",'様式１－１'!$C$43="□",'様式１－１'!$C$44="□"),"★","")</f>
        <v/>
      </c>
      <c r="C87" s="462"/>
      <c r="D87" s="68" t="s">
        <v>61</v>
      </c>
      <c r="E87" s="69" t="s">
        <v>61</v>
      </c>
      <c r="F87" s="69" t="s">
        <v>61</v>
      </c>
      <c r="G87" s="70" t="s">
        <v>61</v>
      </c>
      <c r="H87" s="68">
        <v>25.1</v>
      </c>
      <c r="I87" s="150">
        <v>25.1</v>
      </c>
      <c r="J87" s="108">
        <v>20</v>
      </c>
      <c r="K87" s="109">
        <v>17.2</v>
      </c>
      <c r="L87" s="107">
        <v>16.3</v>
      </c>
      <c r="M87" s="150">
        <v>16.3</v>
      </c>
      <c r="N87" s="108">
        <v>12</v>
      </c>
      <c r="O87" s="109">
        <v>9.6999999999999993</v>
      </c>
      <c r="P87" s="107">
        <v>12.5</v>
      </c>
      <c r="Q87" s="150">
        <v>12.5</v>
      </c>
      <c r="R87" s="108">
        <v>8.9</v>
      </c>
      <c r="S87" s="109">
        <v>6.9</v>
      </c>
      <c r="AK87" s="9"/>
    </row>
    <row r="88" spans="1:37" x14ac:dyDescent="0.2">
      <c r="A88" s="65" t="str">
        <f>IF(AND('様式１－１'!$C$39="☑",'様式１－１'!$C$42="☑",'様式１－１'!$C$43="□",'様式１－１'!$C$44="□"),"★","")</f>
        <v/>
      </c>
      <c r="B88" s="106" t="s">
        <v>128</v>
      </c>
      <c r="C88" s="460" t="s">
        <v>146</v>
      </c>
      <c r="D88" s="68" t="s">
        <v>61</v>
      </c>
      <c r="E88" s="69"/>
      <c r="F88" s="69"/>
      <c r="G88" s="70"/>
      <c r="H88" s="68">
        <v>14.8</v>
      </c>
      <c r="I88" s="150">
        <v>14.8</v>
      </c>
      <c r="J88" s="108">
        <v>12</v>
      </c>
      <c r="K88" s="109">
        <v>9.4</v>
      </c>
      <c r="L88" s="107">
        <v>10.3</v>
      </c>
      <c r="M88" s="150">
        <v>10.3</v>
      </c>
      <c r="N88" s="108">
        <v>7.8</v>
      </c>
      <c r="O88" s="109">
        <v>8.6999999999999993</v>
      </c>
      <c r="P88" s="107">
        <v>9</v>
      </c>
      <c r="Q88" s="150">
        <v>9</v>
      </c>
      <c r="R88" s="108">
        <v>6.7</v>
      </c>
      <c r="S88" s="109">
        <v>7.7</v>
      </c>
      <c r="AK88" s="9"/>
    </row>
    <row r="89" spans="1:37" x14ac:dyDescent="0.2">
      <c r="A89" s="65" t="str">
        <f>IF(AND('様式１－１'!$C$39="☑",'様式１－１'!$C$42="□",'様式１－１'!$C$43="☑",'様式１－１'!$C$44="□"),"★","")</f>
        <v/>
      </c>
      <c r="B89" s="106"/>
      <c r="C89" s="461"/>
      <c r="D89" s="68" t="s">
        <v>61</v>
      </c>
      <c r="E89" s="69" t="s">
        <v>61</v>
      </c>
      <c r="F89" s="69"/>
      <c r="G89" s="70"/>
      <c r="H89" s="68">
        <v>20.6</v>
      </c>
      <c r="I89" s="150">
        <v>20.6</v>
      </c>
      <c r="J89" s="108">
        <v>16.399999999999999</v>
      </c>
      <c r="K89" s="109">
        <v>14.1</v>
      </c>
      <c r="L89" s="107">
        <v>12.5</v>
      </c>
      <c r="M89" s="150">
        <v>12.5</v>
      </c>
      <c r="N89" s="108">
        <v>9</v>
      </c>
      <c r="O89" s="109">
        <v>7.2</v>
      </c>
      <c r="P89" s="107">
        <v>9.3000000000000007</v>
      </c>
      <c r="Q89" s="150">
        <v>9.3000000000000007</v>
      </c>
      <c r="R89" s="108">
        <v>6.4</v>
      </c>
      <c r="S89" s="109">
        <v>4.8</v>
      </c>
      <c r="AK89" s="9"/>
    </row>
    <row r="90" spans="1:37" x14ac:dyDescent="0.2">
      <c r="A90" s="65" t="str">
        <f>IF(AND('様式１－１'!$C$39="☑",'様式１－１'!$C$42="□",'様式１－１'!$C$43="□",'様式１－１'!$C$44="☑"),"★","")</f>
        <v/>
      </c>
      <c r="B90" s="106"/>
      <c r="C90" s="461"/>
      <c r="D90" s="68" t="s">
        <v>61</v>
      </c>
      <c r="E90" s="69"/>
      <c r="F90" s="69" t="s">
        <v>61</v>
      </c>
      <c r="G90" s="70"/>
      <c r="H90" s="68">
        <v>15.3</v>
      </c>
      <c r="I90" s="150">
        <v>15.3</v>
      </c>
      <c r="J90" s="108">
        <v>12.2</v>
      </c>
      <c r="K90" s="109">
        <v>10.5</v>
      </c>
      <c r="L90" s="107">
        <v>8.1999999999999993</v>
      </c>
      <c r="M90" s="150">
        <v>8.1999999999999993</v>
      </c>
      <c r="N90" s="108">
        <v>5.6</v>
      </c>
      <c r="O90" s="109">
        <v>4.2</v>
      </c>
      <c r="P90" s="107">
        <v>5.6</v>
      </c>
      <c r="Q90" s="150">
        <v>5.6</v>
      </c>
      <c r="R90" s="108">
        <v>3.4</v>
      </c>
      <c r="S90" s="109">
        <v>2.2000000000000002</v>
      </c>
      <c r="AK90" s="9"/>
    </row>
    <row r="91" spans="1:37" x14ac:dyDescent="0.2">
      <c r="A91" s="65" t="str">
        <f>IF(AND('様式１－１'!$C$39="☑",'様式１－１'!$C$42="☑",'様式１－１'!$C$43="☑",'様式１－１'!$C$44="□"),"★","")</f>
        <v/>
      </c>
      <c r="B91" s="106"/>
      <c r="C91" s="461"/>
      <c r="D91" s="68" t="s">
        <v>60</v>
      </c>
      <c r="E91" s="69"/>
      <c r="F91" s="69"/>
      <c r="G91" s="70" t="s">
        <v>61</v>
      </c>
      <c r="H91" s="68">
        <v>15.4</v>
      </c>
      <c r="I91" s="150">
        <v>15.4</v>
      </c>
      <c r="J91" s="108">
        <v>12.3</v>
      </c>
      <c r="K91" s="109">
        <v>10.6</v>
      </c>
      <c r="L91" s="107">
        <v>8.3000000000000007</v>
      </c>
      <c r="M91" s="150">
        <v>8.3000000000000007</v>
      </c>
      <c r="N91" s="108">
        <v>5.7</v>
      </c>
      <c r="O91" s="109">
        <v>4.3</v>
      </c>
      <c r="P91" s="107">
        <v>5.7</v>
      </c>
      <c r="Q91" s="150">
        <v>5.7</v>
      </c>
      <c r="R91" s="108">
        <v>3.5</v>
      </c>
      <c r="S91" s="109">
        <v>2.2999999999999998</v>
      </c>
      <c r="AK91" s="9"/>
    </row>
    <row r="92" spans="1:37" x14ac:dyDescent="0.2">
      <c r="A92" s="65" t="str">
        <f>IF(AND('様式１－１'!$C$39="☑",'様式１－１'!$C$35="☑",'様式１－１'!$C$36="□",'様式１－１'!$C$37="☑"),"★","")</f>
        <v/>
      </c>
      <c r="B92" s="106"/>
      <c r="C92" s="461"/>
      <c r="D92" s="68" t="s">
        <v>60</v>
      </c>
      <c r="E92" s="69" t="s">
        <v>61</v>
      </c>
      <c r="F92" s="69" t="s">
        <v>61</v>
      </c>
      <c r="G92" s="70"/>
      <c r="H92" s="68">
        <v>22.7</v>
      </c>
      <c r="I92" s="150">
        <v>22.7</v>
      </c>
      <c r="J92" s="108">
        <v>18.100000000000001</v>
      </c>
      <c r="K92" s="109">
        <v>15.5</v>
      </c>
      <c r="L92" s="107">
        <v>14.3</v>
      </c>
      <c r="M92" s="150">
        <v>14.3</v>
      </c>
      <c r="N92" s="108">
        <v>10.4</v>
      </c>
      <c r="O92" s="109">
        <v>8.4</v>
      </c>
      <c r="P92" s="107">
        <v>10.8</v>
      </c>
      <c r="Q92" s="150">
        <v>10.8</v>
      </c>
      <c r="R92" s="108">
        <v>7.5</v>
      </c>
      <c r="S92" s="109">
        <v>5.8</v>
      </c>
      <c r="AK92" s="9"/>
    </row>
    <row r="93" spans="1:37" x14ac:dyDescent="0.2">
      <c r="A93" s="65" t="str">
        <f>IF(AND('様式１－１'!$C$39="☑",'様式１－１'!$C$42="□",'様式１－１'!$C$43="☑",'様式１－１'!$C$44="☑"),"★","")</f>
        <v/>
      </c>
      <c r="B93" s="106"/>
      <c r="C93" s="461"/>
      <c r="D93" s="68" t="s">
        <v>60</v>
      </c>
      <c r="E93" s="69" t="s">
        <v>61</v>
      </c>
      <c r="F93" s="69"/>
      <c r="G93" s="70" t="s">
        <v>61</v>
      </c>
      <c r="H93" s="68">
        <v>22.9</v>
      </c>
      <c r="I93" s="150">
        <v>22.9</v>
      </c>
      <c r="J93" s="108">
        <v>18.2</v>
      </c>
      <c r="K93" s="109">
        <v>15.7</v>
      </c>
      <c r="L93" s="107">
        <v>14.5</v>
      </c>
      <c r="M93" s="150">
        <v>14.5</v>
      </c>
      <c r="N93" s="108">
        <v>10.6</v>
      </c>
      <c r="O93" s="109">
        <v>8.5</v>
      </c>
      <c r="P93" s="107">
        <v>10.9</v>
      </c>
      <c r="Q93" s="150">
        <v>10.9</v>
      </c>
      <c r="R93" s="108">
        <v>7.7</v>
      </c>
      <c r="S93" s="109">
        <v>5.9</v>
      </c>
      <c r="AK93" s="9"/>
    </row>
    <row r="94" spans="1:37" x14ac:dyDescent="0.2">
      <c r="A94" s="65" t="str">
        <f>IF(AND('様式１－１'!$C$39="☑",'様式１－１'!$C$42="☑",'様式１－１'!$C$43="☑",'様式１－１'!$C$44="☑"),"★","")</f>
        <v/>
      </c>
      <c r="B94" s="106"/>
      <c r="C94" s="461"/>
      <c r="D94" s="68" t="s">
        <v>60</v>
      </c>
      <c r="E94" s="69"/>
      <c r="F94" s="69" t="s">
        <v>61</v>
      </c>
      <c r="G94" s="70" t="s">
        <v>61</v>
      </c>
      <c r="H94" s="68">
        <v>17.5</v>
      </c>
      <c r="I94" s="150">
        <v>17.5</v>
      </c>
      <c r="J94" s="108">
        <v>13.9</v>
      </c>
      <c r="K94" s="109">
        <v>12</v>
      </c>
      <c r="L94" s="107">
        <v>10</v>
      </c>
      <c r="M94" s="150">
        <v>10</v>
      </c>
      <c r="N94" s="108">
        <v>7</v>
      </c>
      <c r="O94" s="109">
        <v>5.4</v>
      </c>
      <c r="P94" s="107">
        <v>7.2</v>
      </c>
      <c r="Q94" s="150">
        <v>7.2</v>
      </c>
      <c r="R94" s="108">
        <v>4.5999999999999996</v>
      </c>
      <c r="S94" s="109">
        <v>3.3</v>
      </c>
      <c r="AK94" s="9"/>
    </row>
    <row r="95" spans="1:37" x14ac:dyDescent="0.2">
      <c r="A95" s="65" t="str">
        <f>IF(AND('様式１－１'!$C$46="☑",'様式１－１'!$C$49="□",'様式１－１'!$C$50="□",'様式１－１'!$C$51="□"),"★","")</f>
        <v/>
      </c>
      <c r="B95" s="106"/>
      <c r="C95" s="462"/>
      <c r="D95" s="68" t="s">
        <v>61</v>
      </c>
      <c r="E95" s="69" t="s">
        <v>61</v>
      </c>
      <c r="F95" s="69" t="s">
        <v>61</v>
      </c>
      <c r="G95" s="70" t="s">
        <v>61</v>
      </c>
      <c r="H95" s="68">
        <v>25.1</v>
      </c>
      <c r="I95" s="150">
        <v>25.1</v>
      </c>
      <c r="J95" s="108">
        <v>20</v>
      </c>
      <c r="K95" s="109">
        <v>17.2</v>
      </c>
      <c r="L95" s="107">
        <v>16.3</v>
      </c>
      <c r="M95" s="150">
        <v>16.3</v>
      </c>
      <c r="N95" s="108">
        <v>12</v>
      </c>
      <c r="O95" s="109">
        <v>9.6999999999999993</v>
      </c>
      <c r="P95" s="107">
        <v>12.5</v>
      </c>
      <c r="Q95" s="150">
        <v>12.5</v>
      </c>
      <c r="R95" s="108">
        <v>8.9</v>
      </c>
      <c r="S95" s="109">
        <v>6.9</v>
      </c>
      <c r="AK95" s="9"/>
    </row>
    <row r="96" spans="1:37" x14ac:dyDescent="0.2">
      <c r="A96" s="65" t="str">
        <f>IF(AND('様式１－１'!$C$46="☑",'様式１－１'!$C$49="☑",'様式１－１'!$C$50="□",'様式１－１'!$C$51="□"),"★","")</f>
        <v/>
      </c>
      <c r="B96" s="106" t="s">
        <v>129</v>
      </c>
      <c r="C96" s="460" t="s">
        <v>147</v>
      </c>
      <c r="D96" s="68" t="s">
        <v>61</v>
      </c>
      <c r="E96" s="69"/>
      <c r="F96" s="69"/>
      <c r="G96" s="70"/>
      <c r="H96" s="68">
        <v>14.8</v>
      </c>
      <c r="I96" s="150">
        <v>14.8</v>
      </c>
      <c r="J96" s="108">
        <v>12</v>
      </c>
      <c r="K96" s="109">
        <v>9.4</v>
      </c>
      <c r="L96" s="107">
        <v>10.3</v>
      </c>
      <c r="M96" s="150">
        <v>10.3</v>
      </c>
      <c r="N96" s="108">
        <v>7.8</v>
      </c>
      <c r="O96" s="109">
        <v>8.6999999999999993</v>
      </c>
      <c r="P96" s="107">
        <v>9</v>
      </c>
      <c r="Q96" s="150">
        <v>9</v>
      </c>
      <c r="R96" s="108">
        <v>6.7</v>
      </c>
      <c r="S96" s="109">
        <v>7.7</v>
      </c>
      <c r="AK96" s="9"/>
    </row>
    <row r="97" spans="1:37" x14ac:dyDescent="0.2">
      <c r="A97" s="65" t="str">
        <f>IF(AND('様式１－１'!$C$46="☑",'様式１－１'!$C$49="□",'様式１－１'!$C$50="☑",'様式１－１'!$C$51="□"),"★","")</f>
        <v/>
      </c>
      <c r="B97" s="106"/>
      <c r="C97" s="461"/>
      <c r="D97" s="68" t="s">
        <v>61</v>
      </c>
      <c r="E97" s="69" t="s">
        <v>61</v>
      </c>
      <c r="F97" s="69"/>
      <c r="G97" s="70"/>
      <c r="H97" s="68">
        <v>20.6</v>
      </c>
      <c r="I97" s="150">
        <v>20.6</v>
      </c>
      <c r="J97" s="108">
        <v>16.399999999999999</v>
      </c>
      <c r="K97" s="109">
        <v>14.1</v>
      </c>
      <c r="L97" s="107">
        <v>12.5</v>
      </c>
      <c r="M97" s="150">
        <v>12.5</v>
      </c>
      <c r="N97" s="108">
        <v>9</v>
      </c>
      <c r="O97" s="109">
        <v>7.2</v>
      </c>
      <c r="P97" s="107">
        <v>9.3000000000000007</v>
      </c>
      <c r="Q97" s="150">
        <v>9.3000000000000007</v>
      </c>
      <c r="R97" s="108">
        <v>6.4</v>
      </c>
      <c r="S97" s="109">
        <v>4.8</v>
      </c>
      <c r="AK97" s="9"/>
    </row>
    <row r="98" spans="1:37" x14ac:dyDescent="0.2">
      <c r="A98" s="65" t="str">
        <f>IF(AND('様式１－１'!$C$46="☑",'様式１－１'!$C$49="□",'様式１－１'!$C$50="□",'様式１－１'!$C$51="☑"),"★","")</f>
        <v/>
      </c>
      <c r="B98" s="106"/>
      <c r="C98" s="461"/>
      <c r="D98" s="68" t="s">
        <v>61</v>
      </c>
      <c r="E98" s="69"/>
      <c r="F98" s="69" t="s">
        <v>61</v>
      </c>
      <c r="G98" s="70"/>
      <c r="H98" s="68">
        <v>15.3</v>
      </c>
      <c r="I98" s="150">
        <v>15.3</v>
      </c>
      <c r="J98" s="108">
        <v>12.2</v>
      </c>
      <c r="K98" s="109">
        <v>10.5</v>
      </c>
      <c r="L98" s="107">
        <v>8.1999999999999993</v>
      </c>
      <c r="M98" s="150">
        <v>8.1999999999999993</v>
      </c>
      <c r="N98" s="108">
        <v>5.6</v>
      </c>
      <c r="O98" s="109">
        <v>4.2</v>
      </c>
      <c r="P98" s="107">
        <v>5.6</v>
      </c>
      <c r="Q98" s="150">
        <v>5.6</v>
      </c>
      <c r="R98" s="108">
        <v>3.4</v>
      </c>
      <c r="S98" s="109">
        <v>2.2000000000000002</v>
      </c>
      <c r="AK98" s="9"/>
    </row>
    <row r="99" spans="1:37" x14ac:dyDescent="0.2">
      <c r="A99" s="65" t="str">
        <f>IF(AND('様式１－１'!$C$46="☑",'様式１－１'!$C$49="☑",'様式１－１'!$C$50="☑",'様式１－１'!$C$51="□"),"★","")</f>
        <v/>
      </c>
      <c r="B99" s="106"/>
      <c r="C99" s="461"/>
      <c r="D99" s="68" t="s">
        <v>60</v>
      </c>
      <c r="E99" s="69"/>
      <c r="F99" s="69"/>
      <c r="G99" s="70" t="s">
        <v>61</v>
      </c>
      <c r="H99" s="68">
        <v>15.4</v>
      </c>
      <c r="I99" s="150">
        <v>15.4</v>
      </c>
      <c r="J99" s="108">
        <v>12.3</v>
      </c>
      <c r="K99" s="109">
        <v>10.6</v>
      </c>
      <c r="L99" s="107">
        <v>8.3000000000000007</v>
      </c>
      <c r="M99" s="150">
        <v>8.3000000000000007</v>
      </c>
      <c r="N99" s="108">
        <v>5.7</v>
      </c>
      <c r="O99" s="109">
        <v>4.3</v>
      </c>
      <c r="P99" s="107">
        <v>5.7</v>
      </c>
      <c r="Q99" s="150">
        <v>5.7</v>
      </c>
      <c r="R99" s="108">
        <v>3.5</v>
      </c>
      <c r="S99" s="109">
        <v>2.2999999999999998</v>
      </c>
      <c r="AK99" s="9"/>
    </row>
    <row r="100" spans="1:37" x14ac:dyDescent="0.2">
      <c r="A100" s="65" t="str">
        <f>IF(AND('様式１－１'!$C$46="☑",'様式１－１'!$C$49="☑",'様式１－１'!$C$50="□",'様式１－１'!$C$51="☑"),"★","")</f>
        <v/>
      </c>
      <c r="B100" s="106"/>
      <c r="C100" s="461"/>
      <c r="D100" s="68" t="s">
        <v>60</v>
      </c>
      <c r="E100" s="69" t="s">
        <v>61</v>
      </c>
      <c r="F100" s="69" t="s">
        <v>61</v>
      </c>
      <c r="G100" s="70"/>
      <c r="H100" s="68">
        <v>22.7</v>
      </c>
      <c r="I100" s="150">
        <v>22.7</v>
      </c>
      <c r="J100" s="108">
        <v>18.100000000000001</v>
      </c>
      <c r="K100" s="109">
        <v>15.5</v>
      </c>
      <c r="L100" s="107">
        <v>14.3</v>
      </c>
      <c r="M100" s="150">
        <v>14.3</v>
      </c>
      <c r="N100" s="108">
        <v>10.4</v>
      </c>
      <c r="O100" s="109">
        <v>8.4</v>
      </c>
      <c r="P100" s="107">
        <v>10.8</v>
      </c>
      <c r="Q100" s="150">
        <v>10.8</v>
      </c>
      <c r="R100" s="108">
        <v>7.5</v>
      </c>
      <c r="S100" s="109">
        <v>5.8</v>
      </c>
      <c r="AK100" s="9"/>
    </row>
    <row r="101" spans="1:37" x14ac:dyDescent="0.2">
      <c r="A101" s="65" t="str">
        <f>IF(AND('様式１－１'!$C$46="☑",'様式１－１'!$C$49="□",'様式１－１'!$C$50="☑",'様式１－１'!$C$51="☑"),"★","")</f>
        <v/>
      </c>
      <c r="B101" s="106"/>
      <c r="C101" s="461"/>
      <c r="D101" s="68" t="s">
        <v>60</v>
      </c>
      <c r="E101" s="69" t="s">
        <v>61</v>
      </c>
      <c r="F101" s="69"/>
      <c r="G101" s="70" t="s">
        <v>61</v>
      </c>
      <c r="H101" s="68">
        <v>22.9</v>
      </c>
      <c r="I101" s="150">
        <v>22.9</v>
      </c>
      <c r="J101" s="108">
        <v>18.2</v>
      </c>
      <c r="K101" s="109">
        <v>15.7</v>
      </c>
      <c r="L101" s="107">
        <v>14.5</v>
      </c>
      <c r="M101" s="150">
        <v>14.5</v>
      </c>
      <c r="N101" s="108">
        <v>10.6</v>
      </c>
      <c r="O101" s="109">
        <v>8.5</v>
      </c>
      <c r="P101" s="107">
        <v>10.9</v>
      </c>
      <c r="Q101" s="150">
        <v>10.9</v>
      </c>
      <c r="R101" s="108">
        <v>7.7</v>
      </c>
      <c r="S101" s="109">
        <v>5.9</v>
      </c>
      <c r="AK101" s="9"/>
    </row>
    <row r="102" spans="1:37" x14ac:dyDescent="0.2">
      <c r="A102" s="65" t="str">
        <f>IF(AND('様式１－１'!$C$46="☑",'様式１－１'!$C$49="☑",'様式１－１'!$C$50="☑",'様式１－１'!$C$51="☑"),"★","")</f>
        <v/>
      </c>
      <c r="B102" s="106"/>
      <c r="C102" s="461"/>
      <c r="D102" s="68" t="s">
        <v>60</v>
      </c>
      <c r="E102" s="69"/>
      <c r="F102" s="69" t="s">
        <v>61</v>
      </c>
      <c r="G102" s="70" t="s">
        <v>61</v>
      </c>
      <c r="H102" s="68">
        <v>17.5</v>
      </c>
      <c r="I102" s="150">
        <v>17.5</v>
      </c>
      <c r="J102" s="108">
        <v>13.9</v>
      </c>
      <c r="K102" s="109">
        <v>12</v>
      </c>
      <c r="L102" s="107">
        <v>10</v>
      </c>
      <c r="M102" s="150">
        <v>10</v>
      </c>
      <c r="N102" s="108">
        <v>7</v>
      </c>
      <c r="O102" s="109">
        <v>5.4</v>
      </c>
      <c r="P102" s="107">
        <v>7.2</v>
      </c>
      <c r="Q102" s="150">
        <v>7.2</v>
      </c>
      <c r="R102" s="108">
        <v>4.5999999999999996</v>
      </c>
      <c r="S102" s="109">
        <v>3.3</v>
      </c>
      <c r="AK102" s="9"/>
    </row>
    <row r="103" spans="1:37" x14ac:dyDescent="0.2">
      <c r="A103" s="65" t="str">
        <f>IF(AND('様式１－１'!$C$53="☑",'様式１－１'!$C$56="□",'様式１－１'!$C$57="□",'様式１－１'!$C$58="□"),"★","")</f>
        <v/>
      </c>
      <c r="C103" s="462"/>
      <c r="D103" s="68" t="s">
        <v>61</v>
      </c>
      <c r="E103" s="69" t="s">
        <v>61</v>
      </c>
      <c r="F103" s="69" t="s">
        <v>61</v>
      </c>
      <c r="G103" s="70" t="s">
        <v>61</v>
      </c>
      <c r="H103" s="68">
        <v>25.1</v>
      </c>
      <c r="I103" s="150">
        <v>25.1</v>
      </c>
      <c r="J103" s="108">
        <v>20</v>
      </c>
      <c r="K103" s="109">
        <v>17.2</v>
      </c>
      <c r="L103" s="107">
        <v>16.3</v>
      </c>
      <c r="M103" s="150">
        <v>16.3</v>
      </c>
      <c r="N103" s="108">
        <v>12</v>
      </c>
      <c r="O103" s="109">
        <v>9.6999999999999993</v>
      </c>
      <c r="P103" s="107">
        <v>12.5</v>
      </c>
      <c r="Q103" s="150">
        <v>12.5</v>
      </c>
      <c r="R103" s="108">
        <v>8.9</v>
      </c>
      <c r="S103" s="109">
        <v>6.9</v>
      </c>
      <c r="AK103" s="9"/>
    </row>
    <row r="104" spans="1:37" x14ac:dyDescent="0.2">
      <c r="A104" s="65" t="str">
        <f>IF(AND('様式１－１'!$C$53="☑",'様式１－１'!$C$56="☑",'様式１－１'!$C$57="□",'様式１－１'!$C$58="□"),"★","")</f>
        <v/>
      </c>
      <c r="B104" s="106" t="s">
        <v>130</v>
      </c>
      <c r="C104" s="460">
        <f>'様式１－１'!B53</f>
        <v>0</v>
      </c>
      <c r="D104" s="68" t="s">
        <v>61</v>
      </c>
      <c r="E104" s="69"/>
      <c r="F104" s="69"/>
      <c r="G104" s="70"/>
      <c r="H104" s="68">
        <v>14.8</v>
      </c>
      <c r="I104" s="150">
        <v>14.8</v>
      </c>
      <c r="J104" s="108">
        <v>12</v>
      </c>
      <c r="K104" s="109">
        <v>9.4</v>
      </c>
      <c r="L104" s="107">
        <v>10.3</v>
      </c>
      <c r="M104" s="150">
        <v>10.3</v>
      </c>
      <c r="N104" s="108">
        <v>7.8</v>
      </c>
      <c r="O104" s="109">
        <v>8.6999999999999993</v>
      </c>
      <c r="P104" s="107">
        <v>9</v>
      </c>
      <c r="Q104" s="150">
        <v>9</v>
      </c>
      <c r="R104" s="108">
        <v>6.7</v>
      </c>
      <c r="S104" s="109">
        <v>7.7</v>
      </c>
      <c r="AK104" s="9"/>
    </row>
    <row r="105" spans="1:37" x14ac:dyDescent="0.2">
      <c r="A105" s="65" t="str">
        <f>IF(AND('様式１－１'!$C$53="☑",'様式１－１'!$C$56="□",'様式１－１'!$C$57="☑",'様式１－１'!$C$58="□"),"★","")</f>
        <v/>
      </c>
      <c r="B105" s="106"/>
      <c r="C105" s="461"/>
      <c r="D105" s="68" t="s">
        <v>61</v>
      </c>
      <c r="E105" s="69" t="s">
        <v>61</v>
      </c>
      <c r="F105" s="69"/>
      <c r="G105" s="70"/>
      <c r="H105" s="68">
        <v>20.6</v>
      </c>
      <c r="I105" s="150">
        <v>20.6</v>
      </c>
      <c r="J105" s="108">
        <v>16.399999999999999</v>
      </c>
      <c r="K105" s="109">
        <v>14.1</v>
      </c>
      <c r="L105" s="107">
        <v>12.5</v>
      </c>
      <c r="M105" s="150">
        <v>12.5</v>
      </c>
      <c r="N105" s="108">
        <v>9</v>
      </c>
      <c r="O105" s="109">
        <v>7.2</v>
      </c>
      <c r="P105" s="107">
        <v>9.3000000000000007</v>
      </c>
      <c r="Q105" s="150">
        <v>9.3000000000000007</v>
      </c>
      <c r="R105" s="108">
        <v>6.4</v>
      </c>
      <c r="S105" s="109">
        <v>4.8</v>
      </c>
      <c r="AK105" s="9"/>
    </row>
    <row r="106" spans="1:37" x14ac:dyDescent="0.2">
      <c r="A106" s="65" t="str">
        <f>IF(AND('様式１－１'!$C$53="☑",'様式１－１'!$C$56="□",'様式１－１'!$C$57="□",'様式１－１'!$C$58="☑"),"★","")</f>
        <v/>
      </c>
      <c r="B106" s="106"/>
      <c r="C106" s="461"/>
      <c r="D106" s="68" t="s">
        <v>61</v>
      </c>
      <c r="E106" s="69"/>
      <c r="F106" s="69" t="s">
        <v>61</v>
      </c>
      <c r="G106" s="70"/>
      <c r="H106" s="68">
        <v>15.3</v>
      </c>
      <c r="I106" s="150">
        <v>15.3</v>
      </c>
      <c r="J106" s="108">
        <v>12.2</v>
      </c>
      <c r="K106" s="109">
        <v>10.5</v>
      </c>
      <c r="L106" s="107">
        <v>8.1999999999999993</v>
      </c>
      <c r="M106" s="150">
        <v>8.1999999999999993</v>
      </c>
      <c r="N106" s="108">
        <v>5.6</v>
      </c>
      <c r="O106" s="109">
        <v>4.2</v>
      </c>
      <c r="P106" s="107">
        <v>5.6</v>
      </c>
      <c r="Q106" s="150">
        <v>5.6</v>
      </c>
      <c r="R106" s="108">
        <v>3.4</v>
      </c>
      <c r="S106" s="109">
        <v>2.2000000000000002</v>
      </c>
      <c r="AK106" s="9"/>
    </row>
    <row r="107" spans="1:37" x14ac:dyDescent="0.2">
      <c r="A107" s="65" t="str">
        <f>IF(AND('様式１－１'!$C$53="☑",'様式１－１'!$C$56="☑",'様式１－１'!$C$57="☑",'様式１－１'!$C$58="□"),"★","")</f>
        <v/>
      </c>
      <c r="B107" s="106"/>
      <c r="C107" s="461"/>
      <c r="D107" s="68" t="s">
        <v>60</v>
      </c>
      <c r="E107" s="69"/>
      <c r="F107" s="69"/>
      <c r="G107" s="70" t="s">
        <v>61</v>
      </c>
      <c r="H107" s="68">
        <v>15.4</v>
      </c>
      <c r="I107" s="150">
        <v>15.4</v>
      </c>
      <c r="J107" s="108">
        <v>12.3</v>
      </c>
      <c r="K107" s="109">
        <v>10.6</v>
      </c>
      <c r="L107" s="107">
        <v>8.3000000000000007</v>
      </c>
      <c r="M107" s="150">
        <v>8.3000000000000007</v>
      </c>
      <c r="N107" s="108">
        <v>5.7</v>
      </c>
      <c r="O107" s="109">
        <v>4.3</v>
      </c>
      <c r="P107" s="107">
        <v>5.7</v>
      </c>
      <c r="Q107" s="150">
        <v>5.7</v>
      </c>
      <c r="R107" s="108">
        <v>3.5</v>
      </c>
      <c r="S107" s="109">
        <v>2.2999999999999998</v>
      </c>
      <c r="AK107" s="9"/>
    </row>
    <row r="108" spans="1:37" x14ac:dyDescent="0.2">
      <c r="A108" s="65" t="str">
        <f>IF(AND('様式１－１'!$C$53="☑",'様式１－１'!$C$56="☑",'様式１－１'!$C$57="□",'様式１－１'!$C$58="☑"),"★","")</f>
        <v/>
      </c>
      <c r="B108" s="106"/>
      <c r="C108" s="461"/>
      <c r="D108" s="68" t="s">
        <v>60</v>
      </c>
      <c r="E108" s="69" t="s">
        <v>61</v>
      </c>
      <c r="F108" s="69" t="s">
        <v>61</v>
      </c>
      <c r="G108" s="73"/>
      <c r="H108" s="68">
        <v>22.7</v>
      </c>
      <c r="I108" s="150">
        <v>22.7</v>
      </c>
      <c r="J108" s="108">
        <v>18.100000000000001</v>
      </c>
      <c r="K108" s="109">
        <v>15.5</v>
      </c>
      <c r="L108" s="107">
        <v>14.3</v>
      </c>
      <c r="M108" s="150">
        <v>14.3</v>
      </c>
      <c r="N108" s="108">
        <v>10.4</v>
      </c>
      <c r="O108" s="109">
        <v>8.4</v>
      </c>
      <c r="P108" s="107">
        <v>10.8</v>
      </c>
      <c r="Q108" s="150">
        <v>10.8</v>
      </c>
      <c r="R108" s="108">
        <v>7.5</v>
      </c>
      <c r="S108" s="109">
        <v>5.8</v>
      </c>
      <c r="AK108" s="9"/>
    </row>
    <row r="109" spans="1:37" x14ac:dyDescent="0.2">
      <c r="A109" s="65" t="str">
        <f>IF(AND('様式１－１'!$C$53="☑",'様式１－１'!$C$56="□",'様式１－１'!$C$57="☑",'様式１－１'!$C$58="☑"),"★","")</f>
        <v/>
      </c>
      <c r="B109" s="106"/>
      <c r="C109" s="461"/>
      <c r="D109" s="68" t="s">
        <v>60</v>
      </c>
      <c r="E109" s="69" t="s">
        <v>61</v>
      </c>
      <c r="F109" s="69"/>
      <c r="G109" s="73" t="s">
        <v>61</v>
      </c>
      <c r="H109" s="68">
        <v>22.9</v>
      </c>
      <c r="I109" s="150">
        <v>22.9</v>
      </c>
      <c r="J109" s="108">
        <v>18.2</v>
      </c>
      <c r="K109" s="109">
        <v>15.7</v>
      </c>
      <c r="L109" s="107">
        <v>14.5</v>
      </c>
      <c r="M109" s="150">
        <v>14.5</v>
      </c>
      <c r="N109" s="108">
        <v>10.6</v>
      </c>
      <c r="O109" s="109">
        <v>8.5</v>
      </c>
      <c r="P109" s="107">
        <v>10.9</v>
      </c>
      <c r="Q109" s="150">
        <v>10.9</v>
      </c>
      <c r="R109" s="108">
        <v>7.7</v>
      </c>
      <c r="S109" s="109">
        <v>5.9</v>
      </c>
      <c r="AK109" s="9"/>
    </row>
    <row r="110" spans="1:37" x14ac:dyDescent="0.2">
      <c r="A110" s="65" t="str">
        <f>IF(AND('様式１－１'!$C$53="☑",'様式１－１'!$C$56="☑",'様式１－１'!$C$57="☑",'様式１－１'!$C$58="☑"),"★","")</f>
        <v/>
      </c>
      <c r="B110" s="106"/>
      <c r="C110" s="461"/>
      <c r="D110" s="68" t="s">
        <v>60</v>
      </c>
      <c r="E110" s="69"/>
      <c r="F110" s="69" t="s">
        <v>61</v>
      </c>
      <c r="G110" s="73" t="s">
        <v>61</v>
      </c>
      <c r="H110" s="68">
        <v>17.5</v>
      </c>
      <c r="I110" s="150">
        <v>17.5</v>
      </c>
      <c r="J110" s="108">
        <v>13.9</v>
      </c>
      <c r="K110" s="109">
        <v>12</v>
      </c>
      <c r="L110" s="107">
        <v>10</v>
      </c>
      <c r="M110" s="150">
        <v>10</v>
      </c>
      <c r="N110" s="108">
        <v>7</v>
      </c>
      <c r="O110" s="109">
        <v>5.4</v>
      </c>
      <c r="P110" s="107">
        <v>7.2</v>
      </c>
      <c r="Q110" s="150">
        <v>7.2</v>
      </c>
      <c r="R110" s="108">
        <v>4.5999999999999996</v>
      </c>
      <c r="S110" s="109">
        <v>3.3</v>
      </c>
      <c r="AK110" s="9"/>
    </row>
    <row r="111" spans="1:37" x14ac:dyDescent="0.2">
      <c r="A111" s="65" t="str">
        <f>IF(AND('様式１－１'!$C$69="☑",'様式１－１'!$C$72="□",'様式１－１'!$C$73="□",'様式１－１'!$C$74="□"),"★","")</f>
        <v/>
      </c>
      <c r="C111" s="462"/>
      <c r="D111" s="68" t="s">
        <v>61</v>
      </c>
      <c r="E111" s="69" t="s">
        <v>61</v>
      </c>
      <c r="F111" s="69" t="s">
        <v>61</v>
      </c>
      <c r="G111" s="73" t="s">
        <v>61</v>
      </c>
      <c r="H111" s="68">
        <v>25.1</v>
      </c>
      <c r="I111" s="150">
        <v>25.1</v>
      </c>
      <c r="J111" s="108">
        <v>20</v>
      </c>
      <c r="K111" s="109">
        <v>17.2</v>
      </c>
      <c r="L111" s="107">
        <v>16.3</v>
      </c>
      <c r="M111" s="150">
        <v>16.3</v>
      </c>
      <c r="N111" s="108">
        <v>12</v>
      </c>
      <c r="O111" s="109">
        <v>9.6999999999999993</v>
      </c>
      <c r="P111" s="107">
        <v>12.5</v>
      </c>
      <c r="Q111" s="150">
        <v>12.5</v>
      </c>
      <c r="R111" s="108">
        <v>8.9</v>
      </c>
      <c r="S111" s="109">
        <v>6.9</v>
      </c>
      <c r="AK111" s="9"/>
    </row>
    <row r="112" spans="1:37" x14ac:dyDescent="0.2">
      <c r="A112" s="65" t="str">
        <f>IF(AND('様式１－１'!$C$69="☑",'様式１－１'!$C$72="☑",'様式１－１'!$C$73="□",'様式１－１'!$C$74="□"),"★","")</f>
        <v/>
      </c>
      <c r="B112" s="106" t="s">
        <v>131</v>
      </c>
      <c r="C112" s="460">
        <f>'様式１－１'!B69</f>
        <v>0</v>
      </c>
      <c r="D112" s="68" t="s">
        <v>61</v>
      </c>
      <c r="E112" s="69"/>
      <c r="F112" s="69"/>
      <c r="G112" s="73"/>
      <c r="H112" s="68">
        <v>14.8</v>
      </c>
      <c r="I112" s="150">
        <v>14.8</v>
      </c>
      <c r="J112" s="108">
        <v>12</v>
      </c>
      <c r="K112" s="109">
        <v>9.4</v>
      </c>
      <c r="L112" s="107">
        <v>10.3</v>
      </c>
      <c r="M112" s="150">
        <v>10.3</v>
      </c>
      <c r="N112" s="108">
        <v>7.8</v>
      </c>
      <c r="O112" s="109">
        <v>8.6999999999999993</v>
      </c>
      <c r="P112" s="107">
        <v>9</v>
      </c>
      <c r="Q112" s="150">
        <v>9</v>
      </c>
      <c r="R112" s="108">
        <v>6.7</v>
      </c>
      <c r="S112" s="109">
        <v>7.7</v>
      </c>
      <c r="AK112" s="9"/>
    </row>
    <row r="113" spans="1:37" x14ac:dyDescent="0.2">
      <c r="A113" s="65" t="str">
        <f>IF(AND('様式１－１'!$C$69="☑",'様式１－１'!$C$72="□",'様式１－１'!$C$73="☑",'様式１－１'!$C$74="□"),"★","")</f>
        <v/>
      </c>
      <c r="B113" s="106"/>
      <c r="C113" s="461"/>
      <c r="D113" s="68" t="s">
        <v>61</v>
      </c>
      <c r="E113" s="69" t="s">
        <v>61</v>
      </c>
      <c r="F113" s="69"/>
      <c r="G113" s="73"/>
      <c r="H113" s="68">
        <v>20.6</v>
      </c>
      <c r="I113" s="150">
        <v>20.6</v>
      </c>
      <c r="J113" s="108">
        <v>16.399999999999999</v>
      </c>
      <c r="K113" s="109">
        <v>14.1</v>
      </c>
      <c r="L113" s="107">
        <v>12.5</v>
      </c>
      <c r="M113" s="150">
        <v>12.5</v>
      </c>
      <c r="N113" s="108">
        <v>9</v>
      </c>
      <c r="O113" s="109">
        <v>7.2</v>
      </c>
      <c r="P113" s="107">
        <v>9.3000000000000007</v>
      </c>
      <c r="Q113" s="150">
        <v>9.3000000000000007</v>
      </c>
      <c r="R113" s="108">
        <v>6.4</v>
      </c>
      <c r="S113" s="109">
        <v>4.8</v>
      </c>
      <c r="AK113" s="9"/>
    </row>
    <row r="114" spans="1:37" x14ac:dyDescent="0.2">
      <c r="A114" s="65" t="str">
        <f>IF(AND('様式１－１'!$C$69="☑",'様式１－１'!$C$72="□",'様式１－１'!$C$73="□",'様式１－１'!$C$74="☑"),"★","")</f>
        <v/>
      </c>
      <c r="B114" s="106"/>
      <c r="C114" s="461"/>
      <c r="D114" s="68" t="s">
        <v>61</v>
      </c>
      <c r="E114" s="69"/>
      <c r="F114" s="69" t="s">
        <v>61</v>
      </c>
      <c r="G114" s="73"/>
      <c r="H114" s="68">
        <v>15.3</v>
      </c>
      <c r="I114" s="150">
        <v>15.3</v>
      </c>
      <c r="J114" s="108">
        <v>12.2</v>
      </c>
      <c r="K114" s="109">
        <v>10.5</v>
      </c>
      <c r="L114" s="107">
        <v>8.1999999999999993</v>
      </c>
      <c r="M114" s="150">
        <v>8.1999999999999993</v>
      </c>
      <c r="N114" s="108">
        <v>5.6</v>
      </c>
      <c r="O114" s="109">
        <v>4.2</v>
      </c>
      <c r="P114" s="107">
        <v>5.6</v>
      </c>
      <c r="Q114" s="150">
        <v>5.6</v>
      </c>
      <c r="R114" s="108">
        <v>3.4</v>
      </c>
      <c r="S114" s="109">
        <v>2.2000000000000002</v>
      </c>
      <c r="AK114" s="9"/>
    </row>
    <row r="115" spans="1:37" x14ac:dyDescent="0.2">
      <c r="A115" s="65" t="str">
        <f>IF(AND('様式１－１'!$C$69="☑",'様式１－１'!$C$72="☑",'様式１－１'!$C$73="☑",'様式１－１'!$C$74="□"),"★","")</f>
        <v/>
      </c>
      <c r="B115" s="106"/>
      <c r="C115" s="461"/>
      <c r="D115" s="68" t="s">
        <v>60</v>
      </c>
      <c r="E115" s="69"/>
      <c r="F115" s="69"/>
      <c r="G115" s="73" t="s">
        <v>61</v>
      </c>
      <c r="H115" s="68">
        <v>15.4</v>
      </c>
      <c r="I115" s="150">
        <v>15.4</v>
      </c>
      <c r="J115" s="108">
        <v>12.3</v>
      </c>
      <c r="K115" s="109">
        <v>10.6</v>
      </c>
      <c r="L115" s="107">
        <v>8.3000000000000007</v>
      </c>
      <c r="M115" s="150">
        <v>8.3000000000000007</v>
      </c>
      <c r="N115" s="108">
        <v>5.7</v>
      </c>
      <c r="O115" s="109">
        <v>4.3</v>
      </c>
      <c r="P115" s="107">
        <v>5.7</v>
      </c>
      <c r="Q115" s="150">
        <v>5.7</v>
      </c>
      <c r="R115" s="108">
        <v>3.5</v>
      </c>
      <c r="S115" s="109">
        <v>2.2999999999999998</v>
      </c>
      <c r="AK115" s="9"/>
    </row>
    <row r="116" spans="1:37" x14ac:dyDescent="0.2">
      <c r="A116" s="65" t="str">
        <f>IF(AND('様式１－１'!$C$69="☑",'様式１－１'!$C$72="☑",'様式１－１'!$C$73="□",'様式１－１'!$C$74="☑"),"★","")</f>
        <v/>
      </c>
      <c r="B116" s="106"/>
      <c r="C116" s="461"/>
      <c r="D116" s="68" t="s">
        <v>60</v>
      </c>
      <c r="E116" s="69" t="s">
        <v>61</v>
      </c>
      <c r="F116" s="69" t="s">
        <v>61</v>
      </c>
      <c r="G116" s="73"/>
      <c r="H116" s="68">
        <v>22.7</v>
      </c>
      <c r="I116" s="150">
        <v>22.7</v>
      </c>
      <c r="J116" s="108">
        <v>18.100000000000001</v>
      </c>
      <c r="K116" s="109">
        <v>15.5</v>
      </c>
      <c r="L116" s="107">
        <v>14.3</v>
      </c>
      <c r="M116" s="150">
        <v>14.3</v>
      </c>
      <c r="N116" s="108">
        <v>10.4</v>
      </c>
      <c r="O116" s="109">
        <v>8.4</v>
      </c>
      <c r="P116" s="107">
        <v>10.8</v>
      </c>
      <c r="Q116" s="150">
        <v>10.8</v>
      </c>
      <c r="R116" s="108">
        <v>7.5</v>
      </c>
      <c r="S116" s="109">
        <v>5.8</v>
      </c>
      <c r="AK116" s="9"/>
    </row>
    <row r="117" spans="1:37" x14ac:dyDescent="0.2">
      <c r="A117" s="65" t="str">
        <f>IF(AND('様式１－１'!$C$69="☑",'様式１－１'!$C$72="□",'様式１－１'!$C$73="☑",'様式１－１'!$C$74="☑"),"★","")</f>
        <v/>
      </c>
      <c r="B117" s="106"/>
      <c r="C117" s="461"/>
      <c r="D117" s="68" t="s">
        <v>60</v>
      </c>
      <c r="E117" s="69" t="s">
        <v>61</v>
      </c>
      <c r="F117" s="69"/>
      <c r="G117" s="73" t="s">
        <v>61</v>
      </c>
      <c r="H117" s="68">
        <v>22.9</v>
      </c>
      <c r="I117" s="150">
        <v>22.9</v>
      </c>
      <c r="J117" s="108">
        <v>18.2</v>
      </c>
      <c r="K117" s="109">
        <v>15.7</v>
      </c>
      <c r="L117" s="107">
        <v>14.5</v>
      </c>
      <c r="M117" s="150">
        <v>14.5</v>
      </c>
      <c r="N117" s="108">
        <v>10.6</v>
      </c>
      <c r="O117" s="109">
        <v>8.5</v>
      </c>
      <c r="P117" s="107">
        <v>10.9</v>
      </c>
      <c r="Q117" s="150">
        <v>10.9</v>
      </c>
      <c r="R117" s="108">
        <v>7.7</v>
      </c>
      <c r="S117" s="109">
        <v>5.9</v>
      </c>
      <c r="AK117" s="9"/>
    </row>
    <row r="118" spans="1:37" x14ac:dyDescent="0.2">
      <c r="A118" s="65" t="str">
        <f>IF(AND('様式１－１'!$C$69="☑",'様式１－１'!$C$72="☑",'様式１－１'!$C$73="☑",'様式１－１'!$C$74="☑"),"★","")</f>
        <v/>
      </c>
      <c r="B118" s="106"/>
      <c r="C118" s="461"/>
      <c r="D118" s="68" t="s">
        <v>60</v>
      </c>
      <c r="E118" s="69"/>
      <c r="F118" s="69" t="s">
        <v>61</v>
      </c>
      <c r="G118" s="73" t="s">
        <v>61</v>
      </c>
      <c r="H118" s="68">
        <v>17.5</v>
      </c>
      <c r="I118" s="150">
        <v>17.5</v>
      </c>
      <c r="J118" s="108">
        <v>13.9</v>
      </c>
      <c r="K118" s="109">
        <v>12</v>
      </c>
      <c r="L118" s="107">
        <v>10</v>
      </c>
      <c r="M118" s="150">
        <v>10</v>
      </c>
      <c r="N118" s="108">
        <v>7</v>
      </c>
      <c r="O118" s="109">
        <v>5.4</v>
      </c>
      <c r="P118" s="107">
        <v>7.2</v>
      </c>
      <c r="Q118" s="150">
        <v>7.2</v>
      </c>
      <c r="R118" s="108">
        <v>4.5999999999999996</v>
      </c>
      <c r="S118" s="109">
        <v>3.3</v>
      </c>
      <c r="AK118" s="9"/>
    </row>
    <row r="119" spans="1:37" x14ac:dyDescent="0.2">
      <c r="A119" s="65" t="str">
        <f>IF(AND('様式１－１'!$C$76="☑",'様式１－１'!$C$79="□",'様式１－１'!$C$80="□",'様式１－１'!$C$81="□"),"★","")</f>
        <v/>
      </c>
      <c r="B119" s="106"/>
      <c r="C119" s="462"/>
      <c r="D119" s="68" t="s">
        <v>61</v>
      </c>
      <c r="E119" s="69" t="s">
        <v>61</v>
      </c>
      <c r="F119" s="69" t="s">
        <v>61</v>
      </c>
      <c r="G119" s="73" t="s">
        <v>61</v>
      </c>
      <c r="H119" s="68">
        <v>25.1</v>
      </c>
      <c r="I119" s="150">
        <v>25.1</v>
      </c>
      <c r="J119" s="108">
        <v>20</v>
      </c>
      <c r="K119" s="109">
        <v>17.2</v>
      </c>
      <c r="L119" s="107">
        <v>16.3</v>
      </c>
      <c r="M119" s="150">
        <v>16.3</v>
      </c>
      <c r="N119" s="108">
        <v>12</v>
      </c>
      <c r="O119" s="109">
        <v>9.6999999999999993</v>
      </c>
      <c r="P119" s="107">
        <v>12.5</v>
      </c>
      <c r="Q119" s="150">
        <v>12.5</v>
      </c>
      <c r="R119" s="108">
        <v>8.9</v>
      </c>
      <c r="S119" s="109">
        <v>6.9</v>
      </c>
      <c r="AK119" s="9"/>
    </row>
    <row r="120" spans="1:37" x14ac:dyDescent="0.2">
      <c r="A120" s="65" t="str">
        <f>IF(AND('様式１－１'!$C$76="☑",'様式１－１'!$C$79="☑",'様式１－１'!$C$80="□",'様式１－１'!$C$81="□"),"★","")</f>
        <v/>
      </c>
      <c r="B120" s="106" t="s">
        <v>148</v>
      </c>
      <c r="C120" s="460">
        <f>'様式１－１'!B76</f>
        <v>0</v>
      </c>
      <c r="D120" s="68" t="s">
        <v>61</v>
      </c>
      <c r="E120" s="69"/>
      <c r="F120" s="69"/>
      <c r="G120" s="73"/>
      <c r="H120" s="68">
        <v>14.8</v>
      </c>
      <c r="I120" s="150">
        <v>14.8</v>
      </c>
      <c r="J120" s="108">
        <v>12</v>
      </c>
      <c r="K120" s="109">
        <v>9.4</v>
      </c>
      <c r="L120" s="107">
        <v>10.3</v>
      </c>
      <c r="M120" s="150">
        <v>10.3</v>
      </c>
      <c r="N120" s="108">
        <v>7.8</v>
      </c>
      <c r="O120" s="109">
        <v>8.6999999999999993</v>
      </c>
      <c r="P120" s="107">
        <v>9</v>
      </c>
      <c r="Q120" s="150">
        <v>9</v>
      </c>
      <c r="R120" s="108">
        <v>6.7</v>
      </c>
      <c r="S120" s="109">
        <v>7.7</v>
      </c>
      <c r="AK120" s="9"/>
    </row>
    <row r="121" spans="1:37" x14ac:dyDescent="0.2">
      <c r="A121" s="65" t="str">
        <f>IF(AND('様式１－１'!$C$76="☑",'様式１－１'!$C$79="□",'様式１－１'!$C$80="☑",'様式１－１'!$C$81="□"),"★","")</f>
        <v/>
      </c>
      <c r="B121" s="106"/>
      <c r="C121" s="461"/>
      <c r="D121" s="68" t="s">
        <v>61</v>
      </c>
      <c r="E121" s="69" t="s">
        <v>61</v>
      </c>
      <c r="F121" s="69"/>
      <c r="G121" s="73"/>
      <c r="H121" s="68">
        <v>20.6</v>
      </c>
      <c r="I121" s="150">
        <v>20.6</v>
      </c>
      <c r="J121" s="108">
        <v>16.399999999999999</v>
      </c>
      <c r="K121" s="109">
        <v>14.1</v>
      </c>
      <c r="L121" s="107">
        <v>12.5</v>
      </c>
      <c r="M121" s="150">
        <v>12.5</v>
      </c>
      <c r="N121" s="108">
        <v>9</v>
      </c>
      <c r="O121" s="109">
        <v>7.2</v>
      </c>
      <c r="P121" s="107">
        <v>9.3000000000000007</v>
      </c>
      <c r="Q121" s="150">
        <v>9.3000000000000007</v>
      </c>
      <c r="R121" s="108">
        <v>6.4</v>
      </c>
      <c r="S121" s="109">
        <v>4.8</v>
      </c>
      <c r="AK121" s="9"/>
    </row>
    <row r="122" spans="1:37" x14ac:dyDescent="0.2">
      <c r="A122" s="65" t="str">
        <f>IF(AND('様式１－１'!$C$76="☑",'様式１－１'!$C$79="□",'様式１－１'!$C$80="□",'様式１－１'!$C$81="☑"),"★","")</f>
        <v/>
      </c>
      <c r="B122" s="106"/>
      <c r="C122" s="461"/>
      <c r="D122" s="68" t="s">
        <v>61</v>
      </c>
      <c r="E122" s="69"/>
      <c r="F122" s="69" t="s">
        <v>61</v>
      </c>
      <c r="G122" s="73"/>
      <c r="H122" s="68">
        <v>15.3</v>
      </c>
      <c r="I122" s="150">
        <v>15.3</v>
      </c>
      <c r="J122" s="108">
        <v>12.2</v>
      </c>
      <c r="K122" s="109">
        <v>10.5</v>
      </c>
      <c r="L122" s="107">
        <v>8.1999999999999993</v>
      </c>
      <c r="M122" s="150">
        <v>8.1999999999999993</v>
      </c>
      <c r="N122" s="108">
        <v>5.6</v>
      </c>
      <c r="O122" s="109">
        <v>4.2</v>
      </c>
      <c r="P122" s="107">
        <v>5.6</v>
      </c>
      <c r="Q122" s="150">
        <v>5.6</v>
      </c>
      <c r="R122" s="108">
        <v>3.4</v>
      </c>
      <c r="S122" s="109">
        <v>2.2000000000000002</v>
      </c>
      <c r="AK122" s="9"/>
    </row>
    <row r="123" spans="1:37" x14ac:dyDescent="0.2">
      <c r="A123" s="65" t="str">
        <f>IF(AND('様式１－１'!$C$76="☑",'様式１－１'!$C$79="☑",'様式１－１'!$C$80="☑",'様式１－１'!$C$81="□"),"★","")</f>
        <v/>
      </c>
      <c r="B123" s="106"/>
      <c r="C123" s="461"/>
      <c r="D123" s="68" t="s">
        <v>60</v>
      </c>
      <c r="E123" s="69"/>
      <c r="F123" s="69"/>
      <c r="G123" s="73" t="s">
        <v>61</v>
      </c>
      <c r="H123" s="68">
        <v>15.4</v>
      </c>
      <c r="I123" s="150">
        <v>15.4</v>
      </c>
      <c r="J123" s="108">
        <v>12.3</v>
      </c>
      <c r="K123" s="109">
        <v>10.6</v>
      </c>
      <c r="L123" s="107">
        <v>8.3000000000000007</v>
      </c>
      <c r="M123" s="150">
        <v>8.3000000000000007</v>
      </c>
      <c r="N123" s="108">
        <v>5.7</v>
      </c>
      <c r="O123" s="109">
        <v>4.3</v>
      </c>
      <c r="P123" s="107">
        <v>5.7</v>
      </c>
      <c r="Q123" s="150">
        <v>5.7</v>
      </c>
      <c r="R123" s="108">
        <v>3.5</v>
      </c>
      <c r="S123" s="109">
        <v>2.2999999999999998</v>
      </c>
      <c r="AK123" s="9"/>
    </row>
    <row r="124" spans="1:37" x14ac:dyDescent="0.2">
      <c r="A124" s="65" t="str">
        <f>IF(AND('様式１－１'!$C$76="☑",'様式１－１'!$C$79="☑",'様式１－１'!$C$80="□",'様式１－１'!$C$81="☑"),"★","")</f>
        <v/>
      </c>
      <c r="B124" s="106"/>
      <c r="C124" s="461"/>
      <c r="D124" s="68" t="s">
        <v>60</v>
      </c>
      <c r="E124" s="69" t="s">
        <v>61</v>
      </c>
      <c r="F124" s="69" t="s">
        <v>61</v>
      </c>
      <c r="G124" s="73"/>
      <c r="H124" s="68">
        <v>22.7</v>
      </c>
      <c r="I124" s="150">
        <v>22.7</v>
      </c>
      <c r="J124" s="108">
        <v>18.100000000000001</v>
      </c>
      <c r="K124" s="109">
        <v>15.5</v>
      </c>
      <c r="L124" s="107">
        <v>14.3</v>
      </c>
      <c r="M124" s="150">
        <v>14.3</v>
      </c>
      <c r="N124" s="108">
        <v>10.4</v>
      </c>
      <c r="O124" s="109">
        <v>8.4</v>
      </c>
      <c r="P124" s="107">
        <v>10.8</v>
      </c>
      <c r="Q124" s="150">
        <v>10.8</v>
      </c>
      <c r="R124" s="108">
        <v>7.5</v>
      </c>
      <c r="S124" s="109">
        <v>5.8</v>
      </c>
      <c r="AK124" s="9"/>
    </row>
    <row r="125" spans="1:37" x14ac:dyDescent="0.2">
      <c r="A125" s="65" t="str">
        <f>IF(AND('様式１－１'!$C$76="☑",'様式１－１'!$C$79="□",'様式１－１'!$C$80="☑",'様式１－１'!$C$81="☑"),"★","")</f>
        <v/>
      </c>
      <c r="B125" s="106"/>
      <c r="C125" s="461"/>
      <c r="D125" s="68" t="s">
        <v>60</v>
      </c>
      <c r="E125" s="69" t="s">
        <v>61</v>
      </c>
      <c r="F125" s="69"/>
      <c r="G125" s="73" t="s">
        <v>61</v>
      </c>
      <c r="H125" s="68">
        <v>22.9</v>
      </c>
      <c r="I125" s="150">
        <v>22.9</v>
      </c>
      <c r="J125" s="108">
        <v>18.2</v>
      </c>
      <c r="K125" s="109">
        <v>15.7</v>
      </c>
      <c r="L125" s="107">
        <v>14.5</v>
      </c>
      <c r="M125" s="150">
        <v>14.5</v>
      </c>
      <c r="N125" s="108">
        <v>10.6</v>
      </c>
      <c r="O125" s="109">
        <v>8.5</v>
      </c>
      <c r="P125" s="107">
        <v>10.9</v>
      </c>
      <c r="Q125" s="150">
        <v>10.9</v>
      </c>
      <c r="R125" s="108">
        <v>7.7</v>
      </c>
      <c r="S125" s="109">
        <v>5.9</v>
      </c>
      <c r="AK125" s="9"/>
    </row>
    <row r="126" spans="1:37" x14ac:dyDescent="0.2">
      <c r="A126" s="65" t="str">
        <f>IF(AND('様式１－１'!$C$76="☑",'様式１－１'!$C$79="☑",'様式１－１'!$C$80="☑",'様式１－１'!$C$81="☑"),"★","")</f>
        <v/>
      </c>
      <c r="B126" s="106"/>
      <c r="C126" s="461"/>
      <c r="D126" s="68" t="s">
        <v>60</v>
      </c>
      <c r="E126" s="69"/>
      <c r="F126" s="69" t="s">
        <v>61</v>
      </c>
      <c r="G126" s="70" t="s">
        <v>61</v>
      </c>
      <c r="H126" s="68">
        <v>17.5</v>
      </c>
      <c r="I126" s="150">
        <v>17.5</v>
      </c>
      <c r="J126" s="108">
        <v>13.9</v>
      </c>
      <c r="K126" s="109">
        <v>12</v>
      </c>
      <c r="L126" s="107">
        <v>10</v>
      </c>
      <c r="M126" s="150">
        <v>10</v>
      </c>
      <c r="N126" s="108">
        <v>7</v>
      </c>
      <c r="O126" s="109">
        <v>5.4</v>
      </c>
      <c r="P126" s="107">
        <v>7.2</v>
      </c>
      <c r="Q126" s="150">
        <v>7.2</v>
      </c>
      <c r="R126" s="108">
        <v>4.5999999999999996</v>
      </c>
      <c r="S126" s="109">
        <v>3.3</v>
      </c>
      <c r="AK126" s="9"/>
    </row>
    <row r="127" spans="1:37" x14ac:dyDescent="0.2">
      <c r="A127" s="65" t="str">
        <f>IF(AND('様式１－１'!$C$83="☑",'様式１－１'!$C$86="□",'様式１－１'!$C$87="□",'様式１－１'!$C$88="□"),"★","")</f>
        <v/>
      </c>
      <c r="C127" s="462"/>
      <c r="D127" s="68" t="s">
        <v>61</v>
      </c>
      <c r="E127" s="69" t="s">
        <v>61</v>
      </c>
      <c r="F127" s="69" t="s">
        <v>61</v>
      </c>
      <c r="G127" s="70" t="s">
        <v>61</v>
      </c>
      <c r="H127" s="68">
        <v>25.1</v>
      </c>
      <c r="I127" s="150">
        <v>25.1</v>
      </c>
      <c r="J127" s="108">
        <v>20</v>
      </c>
      <c r="K127" s="109">
        <v>17.2</v>
      </c>
      <c r="L127" s="107">
        <v>16.3</v>
      </c>
      <c r="M127" s="150">
        <v>16.3</v>
      </c>
      <c r="N127" s="108">
        <v>12</v>
      </c>
      <c r="O127" s="109">
        <v>9.6999999999999993</v>
      </c>
      <c r="P127" s="107">
        <v>12.5</v>
      </c>
      <c r="Q127" s="150">
        <v>12.5</v>
      </c>
      <c r="R127" s="108">
        <v>8.9</v>
      </c>
      <c r="S127" s="109">
        <v>6.9</v>
      </c>
      <c r="AK127" s="9"/>
    </row>
    <row r="128" spans="1:37" x14ac:dyDescent="0.2">
      <c r="A128" s="65" t="str">
        <f>IF(AND('様式１－１'!$C$83="☑",'様式１－１'!$C$86="☑",'様式１－１'!$C$87="□",'様式１－１'!$C$88="□"),"★","")</f>
        <v/>
      </c>
      <c r="B128" s="106" t="s">
        <v>149</v>
      </c>
      <c r="C128" s="460">
        <f>'様式１－１'!B83</f>
        <v>0</v>
      </c>
      <c r="D128" s="68" t="s">
        <v>61</v>
      </c>
      <c r="E128" s="69"/>
      <c r="F128" s="69"/>
      <c r="G128" s="70"/>
      <c r="H128" s="68">
        <v>14.8</v>
      </c>
      <c r="I128" s="150">
        <v>14.8</v>
      </c>
      <c r="J128" s="108">
        <v>12</v>
      </c>
      <c r="K128" s="109">
        <v>9.4</v>
      </c>
      <c r="L128" s="107">
        <v>10.3</v>
      </c>
      <c r="M128" s="150">
        <v>10.3</v>
      </c>
      <c r="N128" s="108">
        <v>7.8</v>
      </c>
      <c r="O128" s="109">
        <v>8.6999999999999993</v>
      </c>
      <c r="P128" s="107">
        <v>9</v>
      </c>
      <c r="Q128" s="150">
        <v>9</v>
      </c>
      <c r="R128" s="108">
        <v>6.7</v>
      </c>
      <c r="S128" s="109">
        <v>7.7</v>
      </c>
      <c r="AK128" s="9"/>
    </row>
    <row r="129" spans="1:37" x14ac:dyDescent="0.2">
      <c r="A129" s="65" t="str">
        <f>IF(AND('様式１－１'!$C$83="☑",'様式１－１'!$C$86="□",'様式１－１'!$C$87="☑",'様式１－１'!$C$88="□"),"★","")</f>
        <v/>
      </c>
      <c r="B129" s="106"/>
      <c r="C129" s="461"/>
      <c r="D129" s="68" t="s">
        <v>61</v>
      </c>
      <c r="E129" s="69" t="s">
        <v>61</v>
      </c>
      <c r="F129" s="69"/>
      <c r="G129" s="70"/>
      <c r="H129" s="68">
        <v>20.6</v>
      </c>
      <c r="I129" s="150">
        <v>20.6</v>
      </c>
      <c r="J129" s="108">
        <v>16.399999999999999</v>
      </c>
      <c r="K129" s="109">
        <v>14.1</v>
      </c>
      <c r="L129" s="107">
        <v>12.5</v>
      </c>
      <c r="M129" s="150">
        <v>12.5</v>
      </c>
      <c r="N129" s="108">
        <v>9</v>
      </c>
      <c r="O129" s="109">
        <v>7.2</v>
      </c>
      <c r="P129" s="107">
        <v>9.3000000000000007</v>
      </c>
      <c r="Q129" s="150">
        <v>9.3000000000000007</v>
      </c>
      <c r="R129" s="108">
        <v>6.4</v>
      </c>
      <c r="S129" s="109">
        <v>4.8</v>
      </c>
      <c r="AK129" s="9"/>
    </row>
    <row r="130" spans="1:37" x14ac:dyDescent="0.2">
      <c r="A130" s="65" t="str">
        <f>IF(AND('様式１－１'!$C$83="☑",'様式１－１'!$C$86="□",'様式１－１'!$C$87="□",'様式１－１'!$C$88="☑"),"★","")</f>
        <v/>
      </c>
      <c r="B130" s="106"/>
      <c r="C130" s="461"/>
      <c r="D130" s="68" t="s">
        <v>61</v>
      </c>
      <c r="E130" s="69"/>
      <c r="F130" s="69" t="s">
        <v>61</v>
      </c>
      <c r="G130" s="70"/>
      <c r="H130" s="68">
        <v>15.3</v>
      </c>
      <c r="I130" s="150">
        <v>15.3</v>
      </c>
      <c r="J130" s="108">
        <v>12.2</v>
      </c>
      <c r="K130" s="109">
        <v>10.5</v>
      </c>
      <c r="L130" s="107">
        <v>8.1999999999999993</v>
      </c>
      <c r="M130" s="150">
        <v>8.1999999999999993</v>
      </c>
      <c r="N130" s="108">
        <v>5.6</v>
      </c>
      <c r="O130" s="109">
        <v>4.2</v>
      </c>
      <c r="P130" s="107">
        <v>5.6</v>
      </c>
      <c r="Q130" s="150">
        <v>5.6</v>
      </c>
      <c r="R130" s="108">
        <v>3.4</v>
      </c>
      <c r="S130" s="109">
        <v>2.2000000000000002</v>
      </c>
      <c r="AK130" s="9"/>
    </row>
    <row r="131" spans="1:37" x14ac:dyDescent="0.2">
      <c r="A131" s="65" t="str">
        <f>IF(AND('様式１－１'!$C$83="☑",'様式１－１'!$C$86="☑",'様式１－１'!$C$87="☑",'様式１－１'!$C$88="□"),"★","")</f>
        <v/>
      </c>
      <c r="B131" s="106"/>
      <c r="C131" s="461"/>
      <c r="D131" s="68" t="s">
        <v>60</v>
      </c>
      <c r="E131" s="69"/>
      <c r="F131" s="69"/>
      <c r="G131" s="70" t="s">
        <v>61</v>
      </c>
      <c r="H131" s="68">
        <v>15.4</v>
      </c>
      <c r="I131" s="150">
        <v>15.4</v>
      </c>
      <c r="J131" s="108">
        <v>12.3</v>
      </c>
      <c r="K131" s="109">
        <v>10.6</v>
      </c>
      <c r="L131" s="107">
        <v>8.3000000000000007</v>
      </c>
      <c r="M131" s="150">
        <v>8.3000000000000007</v>
      </c>
      <c r="N131" s="108">
        <v>5.7</v>
      </c>
      <c r="O131" s="109">
        <v>4.3</v>
      </c>
      <c r="P131" s="107">
        <v>5.7</v>
      </c>
      <c r="Q131" s="150">
        <v>5.7</v>
      </c>
      <c r="R131" s="108">
        <v>3.5</v>
      </c>
      <c r="S131" s="109">
        <v>2.2999999999999998</v>
      </c>
      <c r="AK131" s="9"/>
    </row>
    <row r="132" spans="1:37" x14ac:dyDescent="0.2">
      <c r="A132" s="65" t="str">
        <f>IF(AND('様式１－１'!$C$83="☑",'様式１－１'!$C$86="☑",'様式１－１'!$C$87="□",'様式１－１'!$C$88="☑"),"★","")</f>
        <v/>
      </c>
      <c r="B132" s="106"/>
      <c r="C132" s="461"/>
      <c r="D132" s="68" t="s">
        <v>60</v>
      </c>
      <c r="E132" s="69" t="s">
        <v>61</v>
      </c>
      <c r="F132" s="69" t="s">
        <v>61</v>
      </c>
      <c r="G132" s="70"/>
      <c r="H132" s="68">
        <v>22.7</v>
      </c>
      <c r="I132" s="150">
        <v>22.7</v>
      </c>
      <c r="J132" s="108">
        <v>18.100000000000001</v>
      </c>
      <c r="K132" s="109">
        <v>15.5</v>
      </c>
      <c r="L132" s="107">
        <v>14.3</v>
      </c>
      <c r="M132" s="150">
        <v>14.3</v>
      </c>
      <c r="N132" s="108">
        <v>10.4</v>
      </c>
      <c r="O132" s="109">
        <v>8.4</v>
      </c>
      <c r="P132" s="107">
        <v>10.8</v>
      </c>
      <c r="Q132" s="150">
        <v>10.8</v>
      </c>
      <c r="R132" s="108">
        <v>7.5</v>
      </c>
      <c r="S132" s="109">
        <v>5.8</v>
      </c>
      <c r="AK132" s="9"/>
    </row>
    <row r="133" spans="1:37" x14ac:dyDescent="0.2">
      <c r="A133" s="65" t="str">
        <f>IF(AND('様式１－１'!$C$83="☑",'様式１－１'!$C$86="□",'様式１－１'!$C$87="☑",'様式１－１'!$C$88="☑"),"★","")</f>
        <v/>
      </c>
      <c r="B133" s="106"/>
      <c r="C133" s="461"/>
      <c r="D133" s="68" t="s">
        <v>60</v>
      </c>
      <c r="E133" s="69" t="s">
        <v>61</v>
      </c>
      <c r="F133" s="69"/>
      <c r="G133" s="70" t="s">
        <v>61</v>
      </c>
      <c r="H133" s="68">
        <v>22.9</v>
      </c>
      <c r="I133" s="150">
        <v>22.9</v>
      </c>
      <c r="J133" s="108">
        <v>18.2</v>
      </c>
      <c r="K133" s="109">
        <v>15.7</v>
      </c>
      <c r="L133" s="107">
        <v>14.5</v>
      </c>
      <c r="M133" s="150">
        <v>14.5</v>
      </c>
      <c r="N133" s="108">
        <v>10.6</v>
      </c>
      <c r="O133" s="109">
        <v>8.5</v>
      </c>
      <c r="P133" s="107">
        <v>10.9</v>
      </c>
      <c r="Q133" s="150">
        <v>10.9</v>
      </c>
      <c r="R133" s="108">
        <v>7.7</v>
      </c>
      <c r="S133" s="109">
        <v>5.9</v>
      </c>
      <c r="AK133" s="9"/>
    </row>
    <row r="134" spans="1:37" x14ac:dyDescent="0.2">
      <c r="A134" s="65" t="str">
        <f>IF(AND('様式１－１'!$C$83="☑",'様式１－１'!$C$86="☑",'様式１－１'!$C$87="☑",'様式１－１'!$C$88="☑"),"★","")</f>
        <v/>
      </c>
      <c r="B134" s="106"/>
      <c r="C134" s="461"/>
      <c r="D134" s="68" t="s">
        <v>60</v>
      </c>
      <c r="E134" s="69"/>
      <c r="F134" s="69" t="s">
        <v>61</v>
      </c>
      <c r="G134" s="70" t="s">
        <v>61</v>
      </c>
      <c r="H134" s="68">
        <v>17.5</v>
      </c>
      <c r="I134" s="150">
        <v>17.5</v>
      </c>
      <c r="J134" s="108">
        <v>13.9</v>
      </c>
      <c r="K134" s="109">
        <v>12</v>
      </c>
      <c r="L134" s="107">
        <v>10</v>
      </c>
      <c r="M134" s="150">
        <v>10</v>
      </c>
      <c r="N134" s="108">
        <v>7</v>
      </c>
      <c r="O134" s="109">
        <v>5.4</v>
      </c>
      <c r="P134" s="107">
        <v>7.2</v>
      </c>
      <c r="Q134" s="150">
        <v>7.2</v>
      </c>
      <c r="R134" s="108">
        <v>4.5999999999999996</v>
      </c>
      <c r="S134" s="109">
        <v>3.3</v>
      </c>
      <c r="AK134" s="9"/>
    </row>
    <row r="135" spans="1:37" x14ac:dyDescent="0.2">
      <c r="C135" s="462"/>
      <c r="D135" s="68" t="s">
        <v>61</v>
      </c>
      <c r="E135" s="69" t="s">
        <v>61</v>
      </c>
      <c r="F135" s="69" t="s">
        <v>61</v>
      </c>
      <c r="G135" s="70" t="s">
        <v>61</v>
      </c>
      <c r="H135" s="68">
        <v>25.1</v>
      </c>
      <c r="I135" s="150">
        <v>25.1</v>
      </c>
      <c r="J135" s="108">
        <v>20</v>
      </c>
      <c r="K135" s="109">
        <v>17.2</v>
      </c>
      <c r="L135" s="107">
        <v>16.3</v>
      </c>
      <c r="M135" s="150">
        <v>16.3</v>
      </c>
      <c r="N135" s="108">
        <v>12</v>
      </c>
      <c r="O135" s="109">
        <v>9.6999999999999993</v>
      </c>
      <c r="P135" s="107">
        <v>12.5</v>
      </c>
      <c r="Q135" s="150">
        <v>12.5</v>
      </c>
      <c r="R135" s="108">
        <v>8.9</v>
      </c>
      <c r="S135" s="109">
        <v>6.9</v>
      </c>
      <c r="AK135" s="9"/>
    </row>
  </sheetData>
  <sheetProtection sheet="1" objects="1" scenarios="1" selectLockedCells="1"/>
  <mergeCells count="64">
    <mergeCell ref="C88:C95"/>
    <mergeCell ref="V59:V60"/>
    <mergeCell ref="F59:F60"/>
    <mergeCell ref="G59:G60"/>
    <mergeCell ref="H59:H60"/>
    <mergeCell ref="C71:C79"/>
    <mergeCell ref="D70:G70"/>
    <mergeCell ref="C80:C87"/>
    <mergeCell ref="J59:J60"/>
    <mergeCell ref="K59:K60"/>
    <mergeCell ref="L59:L60"/>
    <mergeCell ref="I59:I60"/>
    <mergeCell ref="U59:U60"/>
    <mergeCell ref="H70:K70"/>
    <mergeCell ref="P70:S70"/>
    <mergeCell ref="P59:P60"/>
    <mergeCell ref="B4:E5"/>
    <mergeCell ref="B67:F67"/>
    <mergeCell ref="M59:M60"/>
    <mergeCell ref="N59:N60"/>
    <mergeCell ref="O59:O60"/>
    <mergeCell ref="B59:B60"/>
    <mergeCell ref="C59:C60"/>
    <mergeCell ref="D59:D60"/>
    <mergeCell ref="E59:E60"/>
    <mergeCell ref="B65:E65"/>
    <mergeCell ref="C96:C103"/>
    <mergeCell ref="C104:C111"/>
    <mergeCell ref="C112:C119"/>
    <mergeCell ref="C120:C127"/>
    <mergeCell ref="C128:C135"/>
    <mergeCell ref="L70:O70"/>
    <mergeCell ref="X4:AI4"/>
    <mergeCell ref="X5:AA5"/>
    <mergeCell ref="AB5:AE5"/>
    <mergeCell ref="AF5:AI5"/>
    <mergeCell ref="F65:AL65"/>
    <mergeCell ref="F4:K4"/>
    <mergeCell ref="F5:G5"/>
    <mergeCell ref="H5:I5"/>
    <mergeCell ref="J5:K5"/>
    <mergeCell ref="X59:X60"/>
    <mergeCell ref="T5:W5"/>
    <mergeCell ref="Y59:Y60"/>
    <mergeCell ref="Z59:Z60"/>
    <mergeCell ref="L4:W4"/>
    <mergeCell ref="L5:O5"/>
    <mergeCell ref="P5:S5"/>
    <mergeCell ref="S59:S60"/>
    <mergeCell ref="T59:T60"/>
    <mergeCell ref="Q59:Q60"/>
    <mergeCell ref="R59:R60"/>
    <mergeCell ref="AH59:AH60"/>
    <mergeCell ref="AI59:AI60"/>
    <mergeCell ref="AJ59:AJ60"/>
    <mergeCell ref="AK59:AK60"/>
    <mergeCell ref="W59:W60"/>
    <mergeCell ref="AD59:AD60"/>
    <mergeCell ref="AE59:AE60"/>
    <mergeCell ref="AF59:AF60"/>
    <mergeCell ref="AG59:AG60"/>
    <mergeCell ref="AA59:AA60"/>
    <mergeCell ref="AB59:AB60"/>
    <mergeCell ref="AC59:AC60"/>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73"/>
  <sheetViews>
    <sheetView showZeros="0" view="pageBreakPreview" zoomScale="115" zoomScaleNormal="100" zoomScaleSheetLayoutView="115" workbookViewId="0">
      <selection activeCell="A12" sqref="A12"/>
    </sheetView>
  </sheetViews>
  <sheetFormatPr defaultColWidth="9" defaultRowHeight="14" x14ac:dyDescent="0.2"/>
  <cols>
    <col min="1" max="1" width="6.08984375" style="6" customWidth="1"/>
    <col min="2" max="2" width="10" style="6" customWidth="1"/>
    <col min="3" max="3" width="3.453125" style="6" bestFit="1" customWidth="1"/>
    <col min="4" max="4" width="11.26953125" style="6" bestFit="1" customWidth="1"/>
    <col min="5" max="5" width="3.453125" style="6" bestFit="1" customWidth="1"/>
    <col min="6" max="6" width="14.6328125" style="6" customWidth="1"/>
    <col min="7" max="7" width="6.453125" style="6" customWidth="1"/>
    <col min="8" max="8" width="8.7265625" style="6" customWidth="1"/>
    <col min="9" max="9" width="25.7265625" style="6" customWidth="1"/>
    <col min="10" max="10" width="18.36328125" style="6" customWidth="1"/>
    <col min="11" max="11" width="13.08984375" style="6" customWidth="1"/>
    <col min="66" max="16384" width="9" style="6"/>
  </cols>
  <sheetData>
    <row r="1" spans="1:11" ht="15.75" customHeight="1" x14ac:dyDescent="0.2">
      <c r="A1" s="6" t="s">
        <v>88</v>
      </c>
    </row>
    <row r="2" spans="1:11" s="58" customFormat="1" x14ac:dyDescent="0.2">
      <c r="A2" s="57" t="s">
        <v>230</v>
      </c>
      <c r="B2" s="6"/>
      <c r="C2" s="6"/>
      <c r="D2" s="6"/>
      <c r="E2" s="6"/>
      <c r="F2" s="6"/>
      <c r="G2" s="6"/>
      <c r="H2" s="6"/>
      <c r="I2" s="6"/>
      <c r="J2" s="6"/>
      <c r="K2" s="6"/>
    </row>
    <row r="3" spans="1:11" s="58" customFormat="1" ht="17.5" x14ac:dyDescent="0.2">
      <c r="A3" s="146" t="s">
        <v>171</v>
      </c>
      <c r="B3" s="6"/>
      <c r="C3" s="6"/>
      <c r="D3" s="6"/>
      <c r="E3" s="6"/>
      <c r="F3" s="6"/>
      <c r="G3" s="6"/>
      <c r="H3" s="6"/>
      <c r="I3" s="6"/>
      <c r="J3" s="6"/>
      <c r="K3" s="6"/>
    </row>
    <row r="4" spans="1:11" s="66" customFormat="1" ht="15.75" customHeight="1" x14ac:dyDescent="0.2">
      <c r="A4" s="40" t="s">
        <v>295</v>
      </c>
      <c r="B4" s="6"/>
      <c r="C4" s="6"/>
      <c r="D4" s="6"/>
      <c r="E4" s="6"/>
      <c r="F4" s="6"/>
      <c r="G4" s="6"/>
      <c r="H4" s="6"/>
      <c r="I4" s="6"/>
      <c r="J4" s="6"/>
      <c r="K4" s="6"/>
    </row>
    <row r="5" spans="1:11" s="66" customFormat="1" ht="15.75" customHeight="1" x14ac:dyDescent="0.2">
      <c r="A5" s="204"/>
      <c r="B5" s="1"/>
      <c r="C5" s="10"/>
      <c r="D5" s="11"/>
      <c r="E5" s="61"/>
      <c r="F5" s="10"/>
      <c r="G5" s="11"/>
      <c r="H5" s="59"/>
      <c r="I5" s="59"/>
      <c r="J5" s="59"/>
      <c r="K5" s="11"/>
    </row>
    <row r="6" spans="1:11" s="66" customFormat="1" ht="15.75" customHeight="1" x14ac:dyDescent="0.2">
      <c r="A6" s="40" t="s">
        <v>102</v>
      </c>
      <c r="B6" s="1"/>
      <c r="C6" s="10"/>
      <c r="D6" s="11"/>
      <c r="E6" s="61"/>
      <c r="F6" s="10"/>
      <c r="G6" s="11"/>
      <c r="H6" s="59"/>
      <c r="I6" s="59"/>
      <c r="J6" s="59"/>
      <c r="K6" s="11"/>
    </row>
    <row r="7" spans="1:11" s="66" customFormat="1" ht="15.75" customHeight="1" x14ac:dyDescent="0.2">
      <c r="A7" s="274"/>
      <c r="B7" s="275"/>
      <c r="C7" s="275"/>
      <c r="D7" s="275"/>
      <c r="E7" s="275"/>
      <c r="F7" s="275"/>
      <c r="G7" s="275"/>
      <c r="H7" s="275"/>
      <c r="I7" s="275"/>
      <c r="J7" s="275"/>
      <c r="K7" s="276"/>
    </row>
    <row r="8" spans="1:11" s="66" customFormat="1" ht="15.75" hidden="1" customHeight="1" x14ac:dyDescent="0.2">
      <c r="A8" s="42" t="s">
        <v>292</v>
      </c>
      <c r="B8" s="79"/>
      <c r="C8" s="79"/>
      <c r="D8" s="79"/>
      <c r="E8" s="79"/>
      <c r="F8" s="79"/>
      <c r="G8" s="79"/>
      <c r="H8" s="79"/>
      <c r="I8" s="79"/>
      <c r="J8" s="79"/>
      <c r="K8" s="277"/>
    </row>
    <row r="9" spans="1:11" s="66" customFormat="1" ht="15.75" hidden="1" customHeight="1" x14ac:dyDescent="0.2">
      <c r="A9" s="278"/>
      <c r="B9" s="41" t="s">
        <v>291</v>
      </c>
      <c r="C9" s="78"/>
      <c r="D9" s="79"/>
      <c r="E9" s="79"/>
      <c r="F9" s="79"/>
      <c r="G9" s="79"/>
      <c r="H9" s="79"/>
      <c r="I9" s="79"/>
      <c r="J9" s="79"/>
      <c r="K9" s="277"/>
    </row>
    <row r="10" spans="1:11" s="58" customFormat="1" ht="15.75" hidden="1" customHeight="1" x14ac:dyDescent="0.2">
      <c r="A10" s="278"/>
      <c r="B10" s="41" t="s">
        <v>290</v>
      </c>
      <c r="C10" s="78"/>
      <c r="D10" s="79"/>
      <c r="E10" s="79"/>
      <c r="F10" s="79"/>
      <c r="G10" s="79"/>
      <c r="H10" s="79"/>
      <c r="I10" s="79"/>
      <c r="J10" s="79"/>
      <c r="K10" s="277"/>
    </row>
    <row r="11" spans="1:11" s="66" customFormat="1" ht="15.75" hidden="1" customHeight="1" x14ac:dyDescent="0.2">
      <c r="A11" s="115" t="s">
        <v>98</v>
      </c>
      <c r="B11" s="41"/>
      <c r="C11" s="78"/>
      <c r="D11" s="79"/>
      <c r="E11" s="79"/>
      <c r="F11" s="79"/>
      <c r="G11" s="79"/>
      <c r="H11" s="79"/>
      <c r="I11" s="79"/>
      <c r="J11" s="79"/>
      <c r="K11" s="277"/>
    </row>
    <row r="12" spans="1:11" ht="15.75" customHeight="1" x14ac:dyDescent="0.2">
      <c r="A12" s="278"/>
      <c r="B12" s="41" t="s">
        <v>294</v>
      </c>
      <c r="C12" s="78"/>
      <c r="D12" s="79"/>
      <c r="E12" s="79"/>
      <c r="F12" s="79"/>
      <c r="G12" s="79"/>
      <c r="H12" s="79"/>
      <c r="I12" s="79"/>
      <c r="J12" s="79"/>
      <c r="K12" s="277"/>
    </row>
    <row r="13" spans="1:11" ht="15.75" customHeight="1" x14ac:dyDescent="0.2">
      <c r="A13" s="279"/>
      <c r="B13" s="246"/>
      <c r="C13" s="246"/>
      <c r="D13" s="246"/>
      <c r="E13" s="246"/>
      <c r="F13" s="246"/>
      <c r="G13" s="246"/>
      <c r="H13" s="246"/>
      <c r="I13" s="246"/>
      <c r="J13" s="246"/>
      <c r="K13" s="280"/>
    </row>
    <row r="14" spans="1:11" ht="15.75" customHeight="1" x14ac:dyDescent="0.2">
      <c r="B14" s="1"/>
      <c r="C14" s="10"/>
      <c r="D14" s="11"/>
      <c r="E14" s="2"/>
      <c r="F14" s="170"/>
      <c r="G14" s="3"/>
      <c r="H14" s="59"/>
      <c r="I14" s="59"/>
      <c r="J14" s="59"/>
      <c r="K14" s="11"/>
    </row>
    <row r="15" spans="1:11" ht="15.75" customHeight="1" x14ac:dyDescent="0.2">
      <c r="A15" s="5" t="s">
        <v>231</v>
      </c>
      <c r="B15" s="204"/>
      <c r="C15" s="204"/>
      <c r="D15" s="204"/>
      <c r="E15" s="204"/>
      <c r="F15" s="204"/>
      <c r="G15" s="204"/>
      <c r="H15" s="204"/>
      <c r="I15" s="204"/>
      <c r="J15" s="204"/>
      <c r="K15" s="204"/>
    </row>
    <row r="16" spans="1:11" ht="15.75" customHeight="1" x14ac:dyDescent="0.2">
      <c r="A16" s="40" t="s">
        <v>86</v>
      </c>
      <c r="B16" s="204"/>
      <c r="C16" s="204"/>
      <c r="D16" s="204"/>
      <c r="E16" s="204"/>
      <c r="F16" s="204"/>
      <c r="G16" s="204"/>
      <c r="H16" s="204"/>
      <c r="I16" s="204"/>
      <c r="J16" s="204"/>
      <c r="K16" s="204"/>
    </row>
    <row r="17" spans="1:11" ht="16" customHeight="1" x14ac:dyDescent="0.2">
      <c r="A17" s="238" t="s">
        <v>35</v>
      </c>
      <c r="B17" s="238" t="s">
        <v>117</v>
      </c>
      <c r="C17" s="392" t="s">
        <v>45</v>
      </c>
      <c r="D17" s="432"/>
      <c r="E17" s="432"/>
      <c r="F17" s="432"/>
      <c r="G17" s="393" t="s">
        <v>46</v>
      </c>
      <c r="H17" s="393"/>
      <c r="I17" s="417" t="s">
        <v>36</v>
      </c>
      <c r="J17" s="418"/>
      <c r="K17" s="238" t="s">
        <v>97</v>
      </c>
    </row>
    <row r="18" spans="1:11" ht="16" customHeight="1" x14ac:dyDescent="0.2">
      <c r="A18" s="433"/>
      <c r="B18" s="421"/>
      <c r="C18" s="421" t="s">
        <v>47</v>
      </c>
      <c r="D18" s="432" t="s">
        <v>42</v>
      </c>
      <c r="E18" s="180" t="s">
        <v>47</v>
      </c>
      <c r="F18" s="21" t="s">
        <v>38</v>
      </c>
      <c r="G18" s="180"/>
      <c r="H18" s="238" t="s">
        <v>44</v>
      </c>
      <c r="I18" s="408"/>
      <c r="J18" s="409"/>
      <c r="K18" s="183"/>
    </row>
    <row r="19" spans="1:11" ht="16" customHeight="1" x14ac:dyDescent="0.2">
      <c r="A19" s="376"/>
      <c r="B19" s="368"/>
      <c r="C19" s="368"/>
      <c r="D19" s="371"/>
      <c r="E19" s="180" t="s">
        <v>47</v>
      </c>
      <c r="F19" s="21" t="s">
        <v>110</v>
      </c>
      <c r="G19" s="180">
        <v>0</v>
      </c>
      <c r="H19" s="238" t="s">
        <v>44</v>
      </c>
      <c r="I19" s="472"/>
      <c r="J19" s="473"/>
      <c r="K19" s="184"/>
    </row>
    <row r="20" spans="1:11" ht="16" customHeight="1" x14ac:dyDescent="0.2">
      <c r="A20" s="376"/>
      <c r="B20" s="368"/>
      <c r="C20" s="369"/>
      <c r="D20" s="372"/>
      <c r="E20" s="180" t="s">
        <v>47</v>
      </c>
      <c r="F20" s="21" t="s">
        <v>100</v>
      </c>
      <c r="G20" s="180"/>
      <c r="H20" s="238" t="s">
        <v>44</v>
      </c>
      <c r="I20" s="472"/>
      <c r="J20" s="473"/>
      <c r="K20" s="184"/>
    </row>
    <row r="21" spans="1:11" ht="16" customHeight="1" x14ac:dyDescent="0.2">
      <c r="A21" s="376"/>
      <c r="B21" s="368"/>
      <c r="C21" s="180" t="s">
        <v>48</v>
      </c>
      <c r="D21" s="238" t="s">
        <v>40</v>
      </c>
      <c r="E21" s="382"/>
      <c r="F21" s="383"/>
      <c r="G21" s="22"/>
      <c r="H21" s="22"/>
      <c r="I21" s="408"/>
      <c r="J21" s="409"/>
      <c r="K21" s="184"/>
    </row>
    <row r="22" spans="1:11" ht="16" customHeight="1" x14ac:dyDescent="0.2">
      <c r="A22" s="376"/>
      <c r="B22" s="368"/>
      <c r="C22" s="180" t="s">
        <v>47</v>
      </c>
      <c r="D22" s="238" t="s">
        <v>101</v>
      </c>
      <c r="E22" s="384"/>
      <c r="F22" s="385"/>
      <c r="G22" s="180"/>
      <c r="H22" s="238" t="s">
        <v>39</v>
      </c>
      <c r="I22" s="472"/>
      <c r="J22" s="473"/>
      <c r="K22" s="184"/>
    </row>
    <row r="23" spans="1:11" ht="16" customHeight="1" x14ac:dyDescent="0.2">
      <c r="A23" s="376"/>
      <c r="B23" s="368"/>
      <c r="C23" s="180" t="s">
        <v>47</v>
      </c>
      <c r="D23" s="238" t="s">
        <v>41</v>
      </c>
      <c r="E23" s="386"/>
      <c r="F23" s="387"/>
      <c r="G23" s="22"/>
      <c r="H23" s="22"/>
      <c r="I23" s="472"/>
      <c r="J23" s="473"/>
      <c r="K23" s="184"/>
    </row>
    <row r="24" spans="1:11" ht="16" customHeight="1" thickBot="1" x14ac:dyDescent="0.25">
      <c r="A24" s="380"/>
      <c r="B24" s="381"/>
      <c r="C24" s="240" t="s">
        <v>47</v>
      </c>
      <c r="D24" s="27" t="s">
        <v>43</v>
      </c>
      <c r="E24" s="190"/>
      <c r="F24" s="189"/>
      <c r="G24" s="181">
        <v>0</v>
      </c>
      <c r="H24" s="27" t="s">
        <v>44</v>
      </c>
      <c r="I24" s="470"/>
      <c r="J24" s="471"/>
      <c r="K24" s="185"/>
    </row>
    <row r="25" spans="1:11" ht="16" customHeight="1" thickTop="1" x14ac:dyDescent="0.2">
      <c r="A25" s="375"/>
      <c r="B25" s="367"/>
      <c r="C25" s="367" t="s">
        <v>47</v>
      </c>
      <c r="D25" s="370" t="s">
        <v>42</v>
      </c>
      <c r="E25" s="180" t="s">
        <v>47</v>
      </c>
      <c r="F25" s="24" t="s">
        <v>38</v>
      </c>
      <c r="G25" s="182">
        <v>0</v>
      </c>
      <c r="H25" s="25" t="s">
        <v>44</v>
      </c>
      <c r="I25" s="412"/>
      <c r="J25" s="413"/>
      <c r="K25" s="188"/>
    </row>
    <row r="26" spans="1:11" ht="16" customHeight="1" x14ac:dyDescent="0.2">
      <c r="A26" s="376"/>
      <c r="B26" s="368"/>
      <c r="C26" s="368"/>
      <c r="D26" s="371"/>
      <c r="E26" s="180" t="s">
        <v>47</v>
      </c>
      <c r="F26" s="21" t="s">
        <v>110</v>
      </c>
      <c r="G26" s="180">
        <v>0</v>
      </c>
      <c r="H26" s="238" t="s">
        <v>44</v>
      </c>
      <c r="I26" s="408"/>
      <c r="J26" s="409"/>
      <c r="K26" s="184"/>
    </row>
    <row r="27" spans="1:11" ht="16" customHeight="1" x14ac:dyDescent="0.2">
      <c r="A27" s="376"/>
      <c r="B27" s="368"/>
      <c r="C27" s="369"/>
      <c r="D27" s="372"/>
      <c r="E27" s="180" t="s">
        <v>47</v>
      </c>
      <c r="F27" s="21" t="s">
        <v>100</v>
      </c>
      <c r="G27" s="180">
        <v>0</v>
      </c>
      <c r="H27" s="238" t="s">
        <v>44</v>
      </c>
      <c r="I27" s="408"/>
      <c r="J27" s="409"/>
      <c r="K27" s="184"/>
    </row>
    <row r="28" spans="1:11" ht="16" customHeight="1" x14ac:dyDescent="0.2">
      <c r="A28" s="376"/>
      <c r="B28" s="368"/>
      <c r="C28" s="180" t="s">
        <v>48</v>
      </c>
      <c r="D28" s="238" t="s">
        <v>40</v>
      </c>
      <c r="E28" s="382"/>
      <c r="F28" s="383"/>
      <c r="G28" s="414"/>
      <c r="H28" s="415"/>
      <c r="I28" s="408"/>
      <c r="J28" s="409"/>
      <c r="K28" s="184"/>
    </row>
    <row r="29" spans="1:11" ht="16" customHeight="1" x14ac:dyDescent="0.2">
      <c r="A29" s="376"/>
      <c r="B29" s="368"/>
      <c r="C29" s="180" t="s">
        <v>47</v>
      </c>
      <c r="D29" s="238" t="s">
        <v>101</v>
      </c>
      <c r="E29" s="384"/>
      <c r="F29" s="385"/>
      <c r="G29" s="180">
        <v>0</v>
      </c>
      <c r="H29" s="238" t="s">
        <v>39</v>
      </c>
      <c r="I29" s="408"/>
      <c r="J29" s="409"/>
      <c r="K29" s="184"/>
    </row>
    <row r="30" spans="1:11" ht="16" customHeight="1" x14ac:dyDescent="0.2">
      <c r="A30" s="376"/>
      <c r="B30" s="368"/>
      <c r="C30" s="240" t="s">
        <v>47</v>
      </c>
      <c r="D30" s="238" t="s">
        <v>41</v>
      </c>
      <c r="E30" s="386"/>
      <c r="F30" s="387"/>
      <c r="G30" s="414"/>
      <c r="H30" s="415"/>
      <c r="I30" s="408"/>
      <c r="J30" s="409"/>
      <c r="K30" s="184"/>
    </row>
    <row r="31" spans="1:11" ht="16" customHeight="1" thickBot="1" x14ac:dyDescent="0.25">
      <c r="A31" s="380"/>
      <c r="B31" s="381"/>
      <c r="C31" s="240" t="s">
        <v>47</v>
      </c>
      <c r="D31" s="27" t="s">
        <v>43</v>
      </c>
      <c r="E31" s="373"/>
      <c r="F31" s="374"/>
      <c r="G31" s="181">
        <v>0</v>
      </c>
      <c r="H31" s="27" t="s">
        <v>44</v>
      </c>
      <c r="I31" s="408"/>
      <c r="J31" s="409"/>
      <c r="K31" s="185"/>
    </row>
    <row r="32" spans="1:11" ht="16" customHeight="1" thickTop="1" x14ac:dyDescent="0.2">
      <c r="A32" s="375"/>
      <c r="B32" s="367"/>
      <c r="C32" s="367" t="s">
        <v>48</v>
      </c>
      <c r="D32" s="370" t="s">
        <v>42</v>
      </c>
      <c r="E32" s="180" t="s">
        <v>47</v>
      </c>
      <c r="F32" s="24" t="s">
        <v>38</v>
      </c>
      <c r="G32" s="182">
        <v>0</v>
      </c>
      <c r="H32" s="25" t="s">
        <v>44</v>
      </c>
      <c r="I32" s="412"/>
      <c r="J32" s="413"/>
      <c r="K32" s="188"/>
    </row>
    <row r="33" spans="1:11" ht="16" customHeight="1" x14ac:dyDescent="0.2">
      <c r="A33" s="376"/>
      <c r="B33" s="368"/>
      <c r="C33" s="368"/>
      <c r="D33" s="371"/>
      <c r="E33" s="180" t="s">
        <v>47</v>
      </c>
      <c r="F33" s="21" t="s">
        <v>110</v>
      </c>
      <c r="G33" s="180">
        <v>0</v>
      </c>
      <c r="H33" s="238" t="s">
        <v>44</v>
      </c>
      <c r="I33" s="408"/>
      <c r="J33" s="409"/>
      <c r="K33" s="184"/>
    </row>
    <row r="34" spans="1:11" ht="16" customHeight="1" x14ac:dyDescent="0.2">
      <c r="A34" s="376"/>
      <c r="B34" s="368"/>
      <c r="C34" s="369"/>
      <c r="D34" s="372"/>
      <c r="E34" s="180" t="s">
        <v>47</v>
      </c>
      <c r="F34" s="21" t="s">
        <v>100</v>
      </c>
      <c r="G34" s="180">
        <v>0</v>
      </c>
      <c r="H34" s="238" t="s">
        <v>44</v>
      </c>
      <c r="I34" s="408"/>
      <c r="J34" s="409"/>
      <c r="K34" s="184"/>
    </row>
    <row r="35" spans="1:11" ht="16" customHeight="1" x14ac:dyDescent="0.2">
      <c r="A35" s="376"/>
      <c r="B35" s="368"/>
      <c r="C35" s="180" t="s">
        <v>48</v>
      </c>
      <c r="D35" s="238" t="s">
        <v>40</v>
      </c>
      <c r="E35" s="382"/>
      <c r="F35" s="383"/>
      <c r="G35" s="414"/>
      <c r="H35" s="415"/>
      <c r="I35" s="408"/>
      <c r="J35" s="409"/>
      <c r="K35" s="184"/>
    </row>
    <row r="36" spans="1:11" ht="16" customHeight="1" x14ac:dyDescent="0.2">
      <c r="A36" s="376"/>
      <c r="B36" s="368"/>
      <c r="C36" s="180" t="s">
        <v>47</v>
      </c>
      <c r="D36" s="238" t="s">
        <v>101</v>
      </c>
      <c r="E36" s="384"/>
      <c r="F36" s="385"/>
      <c r="G36" s="180">
        <v>0</v>
      </c>
      <c r="H36" s="238" t="s">
        <v>39</v>
      </c>
      <c r="I36" s="408"/>
      <c r="J36" s="409"/>
      <c r="K36" s="184"/>
    </row>
    <row r="37" spans="1:11" ht="16" customHeight="1" x14ac:dyDescent="0.2">
      <c r="A37" s="376"/>
      <c r="B37" s="368"/>
      <c r="C37" s="240" t="s">
        <v>47</v>
      </c>
      <c r="D37" s="238" t="s">
        <v>41</v>
      </c>
      <c r="E37" s="386"/>
      <c r="F37" s="387"/>
      <c r="G37" s="414"/>
      <c r="H37" s="415"/>
      <c r="I37" s="408"/>
      <c r="J37" s="409"/>
      <c r="K37" s="184"/>
    </row>
    <row r="38" spans="1:11" ht="16" customHeight="1" thickBot="1" x14ac:dyDescent="0.25">
      <c r="A38" s="380"/>
      <c r="B38" s="381"/>
      <c r="C38" s="240" t="s">
        <v>47</v>
      </c>
      <c r="D38" s="27" t="s">
        <v>43</v>
      </c>
      <c r="E38" s="373"/>
      <c r="F38" s="374"/>
      <c r="G38" s="181">
        <v>0</v>
      </c>
      <c r="H38" s="27" t="s">
        <v>44</v>
      </c>
      <c r="I38" s="408"/>
      <c r="J38" s="409"/>
      <c r="K38" s="185"/>
    </row>
    <row r="39" spans="1:11" ht="16" customHeight="1" thickTop="1" x14ac:dyDescent="0.2">
      <c r="A39" s="375"/>
      <c r="B39" s="367"/>
      <c r="C39" s="367" t="s">
        <v>47</v>
      </c>
      <c r="D39" s="370" t="s">
        <v>42</v>
      </c>
      <c r="E39" s="180" t="s">
        <v>47</v>
      </c>
      <c r="F39" s="24" t="s">
        <v>38</v>
      </c>
      <c r="G39" s="182">
        <v>0</v>
      </c>
      <c r="H39" s="25" t="s">
        <v>44</v>
      </c>
      <c r="I39" s="412"/>
      <c r="J39" s="413"/>
      <c r="K39" s="188"/>
    </row>
    <row r="40" spans="1:11" ht="16" customHeight="1" x14ac:dyDescent="0.2">
      <c r="A40" s="376"/>
      <c r="B40" s="368"/>
      <c r="C40" s="368"/>
      <c r="D40" s="371"/>
      <c r="E40" s="180" t="s">
        <v>47</v>
      </c>
      <c r="F40" s="21" t="s">
        <v>110</v>
      </c>
      <c r="G40" s="180">
        <v>0</v>
      </c>
      <c r="H40" s="238" t="s">
        <v>44</v>
      </c>
      <c r="I40" s="408"/>
      <c r="J40" s="409"/>
      <c r="K40" s="184"/>
    </row>
    <row r="41" spans="1:11" ht="16" customHeight="1" x14ac:dyDescent="0.2">
      <c r="A41" s="376"/>
      <c r="B41" s="368"/>
      <c r="C41" s="369"/>
      <c r="D41" s="372"/>
      <c r="E41" s="180" t="s">
        <v>47</v>
      </c>
      <c r="F41" s="21" t="s">
        <v>100</v>
      </c>
      <c r="G41" s="180">
        <v>0</v>
      </c>
      <c r="H41" s="238" t="s">
        <v>44</v>
      </c>
      <c r="I41" s="408"/>
      <c r="J41" s="409"/>
      <c r="K41" s="184"/>
    </row>
    <row r="42" spans="1:11" ht="16" customHeight="1" x14ac:dyDescent="0.2">
      <c r="A42" s="376"/>
      <c r="B42" s="368"/>
      <c r="C42" s="180" t="s">
        <v>47</v>
      </c>
      <c r="D42" s="238" t="s">
        <v>40</v>
      </c>
      <c r="E42" s="382"/>
      <c r="F42" s="383"/>
      <c r="G42" s="414"/>
      <c r="H42" s="415"/>
      <c r="I42" s="408"/>
      <c r="J42" s="409"/>
      <c r="K42" s="184"/>
    </row>
    <row r="43" spans="1:11" ht="16" customHeight="1" x14ac:dyDescent="0.2">
      <c r="A43" s="376"/>
      <c r="B43" s="368"/>
      <c r="C43" s="180" t="s">
        <v>47</v>
      </c>
      <c r="D43" s="238" t="s">
        <v>101</v>
      </c>
      <c r="E43" s="384"/>
      <c r="F43" s="385"/>
      <c r="G43" s="180">
        <v>0</v>
      </c>
      <c r="H43" s="238" t="s">
        <v>39</v>
      </c>
      <c r="I43" s="408"/>
      <c r="J43" s="409"/>
      <c r="K43" s="184"/>
    </row>
    <row r="44" spans="1:11" ht="16" customHeight="1" x14ac:dyDescent="0.2">
      <c r="A44" s="376"/>
      <c r="B44" s="368"/>
      <c r="C44" s="240" t="s">
        <v>47</v>
      </c>
      <c r="D44" s="238" t="s">
        <v>41</v>
      </c>
      <c r="E44" s="386"/>
      <c r="F44" s="387"/>
      <c r="G44" s="414"/>
      <c r="H44" s="415"/>
      <c r="I44" s="408"/>
      <c r="J44" s="409"/>
      <c r="K44" s="184"/>
    </row>
    <row r="45" spans="1:11" ht="16" customHeight="1" thickBot="1" x14ac:dyDescent="0.25">
      <c r="A45" s="380"/>
      <c r="B45" s="381"/>
      <c r="C45" s="240" t="s">
        <v>47</v>
      </c>
      <c r="D45" s="27" t="s">
        <v>43</v>
      </c>
      <c r="E45" s="373"/>
      <c r="F45" s="374"/>
      <c r="G45" s="181">
        <v>0</v>
      </c>
      <c r="H45" s="27" t="s">
        <v>44</v>
      </c>
      <c r="I45" s="408"/>
      <c r="J45" s="409"/>
      <c r="K45" s="185"/>
    </row>
    <row r="46" spans="1:11" ht="16" customHeight="1" thickTop="1" x14ac:dyDescent="0.2">
      <c r="A46" s="375"/>
      <c r="B46" s="367"/>
      <c r="C46" s="367" t="s">
        <v>47</v>
      </c>
      <c r="D46" s="370" t="s">
        <v>42</v>
      </c>
      <c r="E46" s="180" t="s">
        <v>47</v>
      </c>
      <c r="F46" s="24" t="s">
        <v>38</v>
      </c>
      <c r="G46" s="182">
        <v>0</v>
      </c>
      <c r="H46" s="25" t="s">
        <v>44</v>
      </c>
      <c r="I46" s="412"/>
      <c r="J46" s="413"/>
      <c r="K46" s="188"/>
    </row>
    <row r="47" spans="1:11" ht="16" customHeight="1" x14ac:dyDescent="0.2">
      <c r="A47" s="376"/>
      <c r="B47" s="368"/>
      <c r="C47" s="368"/>
      <c r="D47" s="371"/>
      <c r="E47" s="180" t="s">
        <v>47</v>
      </c>
      <c r="F47" s="21" t="s">
        <v>110</v>
      </c>
      <c r="G47" s="180">
        <v>0</v>
      </c>
      <c r="H47" s="238" t="s">
        <v>44</v>
      </c>
      <c r="I47" s="408"/>
      <c r="J47" s="409"/>
      <c r="K47" s="184"/>
    </row>
    <row r="48" spans="1:11" ht="16" customHeight="1" x14ac:dyDescent="0.2">
      <c r="A48" s="376"/>
      <c r="B48" s="368"/>
      <c r="C48" s="369"/>
      <c r="D48" s="372"/>
      <c r="E48" s="180" t="s">
        <v>47</v>
      </c>
      <c r="F48" s="21" t="s">
        <v>100</v>
      </c>
      <c r="G48" s="180">
        <v>0</v>
      </c>
      <c r="H48" s="238" t="s">
        <v>44</v>
      </c>
      <c r="I48" s="408"/>
      <c r="J48" s="409"/>
      <c r="K48" s="184"/>
    </row>
    <row r="49" spans="1:11" ht="16" customHeight="1" x14ac:dyDescent="0.2">
      <c r="A49" s="376"/>
      <c r="B49" s="368"/>
      <c r="C49" s="180" t="s">
        <v>47</v>
      </c>
      <c r="D49" s="238" t="s">
        <v>40</v>
      </c>
      <c r="E49" s="382"/>
      <c r="F49" s="383"/>
      <c r="G49" s="414"/>
      <c r="H49" s="415"/>
      <c r="I49" s="408"/>
      <c r="J49" s="409"/>
      <c r="K49" s="184"/>
    </row>
    <row r="50" spans="1:11" s="30" customFormat="1" ht="16" customHeight="1" x14ac:dyDescent="0.2">
      <c r="A50" s="376"/>
      <c r="B50" s="368"/>
      <c r="C50" s="180" t="s">
        <v>47</v>
      </c>
      <c r="D50" s="238" t="s">
        <v>101</v>
      </c>
      <c r="E50" s="384"/>
      <c r="F50" s="385"/>
      <c r="G50" s="180">
        <v>0</v>
      </c>
      <c r="H50" s="238" t="s">
        <v>39</v>
      </c>
      <c r="I50" s="408"/>
      <c r="J50" s="409"/>
      <c r="K50" s="184"/>
    </row>
    <row r="51" spans="1:11" ht="16" customHeight="1" x14ac:dyDescent="0.2">
      <c r="A51" s="376"/>
      <c r="B51" s="368"/>
      <c r="C51" s="240" t="s">
        <v>47</v>
      </c>
      <c r="D51" s="238" t="s">
        <v>41</v>
      </c>
      <c r="E51" s="386"/>
      <c r="F51" s="387"/>
      <c r="G51" s="414"/>
      <c r="H51" s="415"/>
      <c r="I51" s="408"/>
      <c r="J51" s="409"/>
      <c r="K51" s="184"/>
    </row>
    <row r="52" spans="1:11" ht="16" customHeight="1" thickBot="1" x14ac:dyDescent="0.25">
      <c r="A52" s="380"/>
      <c r="B52" s="381"/>
      <c r="C52" s="240" t="s">
        <v>47</v>
      </c>
      <c r="D52" s="27" t="s">
        <v>43</v>
      </c>
      <c r="E52" s="373"/>
      <c r="F52" s="374"/>
      <c r="G52" s="181">
        <v>0</v>
      </c>
      <c r="H52" s="27" t="s">
        <v>44</v>
      </c>
      <c r="I52" s="408"/>
      <c r="J52" s="409"/>
      <c r="K52" s="185"/>
    </row>
    <row r="53" spans="1:11" ht="16" customHeight="1" thickTop="1" x14ac:dyDescent="0.2">
      <c r="A53" s="375"/>
      <c r="B53" s="367"/>
      <c r="C53" s="367" t="s">
        <v>47</v>
      </c>
      <c r="D53" s="370" t="s">
        <v>42</v>
      </c>
      <c r="E53" s="180" t="s">
        <v>47</v>
      </c>
      <c r="F53" s="24" t="s">
        <v>38</v>
      </c>
      <c r="G53" s="182">
        <v>0</v>
      </c>
      <c r="H53" s="25" t="s">
        <v>44</v>
      </c>
      <c r="I53" s="412"/>
      <c r="J53" s="413"/>
      <c r="K53" s="188"/>
    </row>
    <row r="54" spans="1:11" ht="16" customHeight="1" x14ac:dyDescent="0.2">
      <c r="A54" s="376"/>
      <c r="B54" s="368"/>
      <c r="C54" s="368"/>
      <c r="D54" s="371"/>
      <c r="E54" s="180" t="s">
        <v>47</v>
      </c>
      <c r="F54" s="21" t="s">
        <v>110</v>
      </c>
      <c r="G54" s="180">
        <v>0</v>
      </c>
      <c r="H54" s="238" t="s">
        <v>44</v>
      </c>
      <c r="I54" s="408"/>
      <c r="J54" s="409"/>
      <c r="K54" s="184"/>
    </row>
    <row r="55" spans="1:11" ht="16" customHeight="1" x14ac:dyDescent="0.2">
      <c r="A55" s="376"/>
      <c r="B55" s="368"/>
      <c r="C55" s="369"/>
      <c r="D55" s="372"/>
      <c r="E55" s="180" t="s">
        <v>47</v>
      </c>
      <c r="F55" s="21" t="s">
        <v>100</v>
      </c>
      <c r="G55" s="180">
        <v>0</v>
      </c>
      <c r="H55" s="238" t="s">
        <v>44</v>
      </c>
      <c r="I55" s="408"/>
      <c r="J55" s="409"/>
      <c r="K55" s="184"/>
    </row>
    <row r="56" spans="1:11" ht="16" customHeight="1" x14ac:dyDescent="0.2">
      <c r="A56" s="376"/>
      <c r="B56" s="368"/>
      <c r="C56" s="180" t="s">
        <v>47</v>
      </c>
      <c r="D56" s="238" t="s">
        <v>40</v>
      </c>
      <c r="E56" s="382"/>
      <c r="F56" s="383"/>
      <c r="G56" s="414"/>
      <c r="H56" s="415"/>
      <c r="I56" s="408"/>
      <c r="J56" s="409"/>
      <c r="K56" s="184"/>
    </row>
    <row r="57" spans="1:11" ht="16" customHeight="1" x14ac:dyDescent="0.2">
      <c r="A57" s="376"/>
      <c r="B57" s="368"/>
      <c r="C57" s="180" t="s">
        <v>47</v>
      </c>
      <c r="D57" s="238" t="s">
        <v>101</v>
      </c>
      <c r="E57" s="384"/>
      <c r="F57" s="385"/>
      <c r="G57" s="180">
        <v>0</v>
      </c>
      <c r="H57" s="238" t="s">
        <v>39</v>
      </c>
      <c r="I57" s="408"/>
      <c r="J57" s="409"/>
      <c r="K57" s="184"/>
    </row>
    <row r="58" spans="1:11" x14ac:dyDescent="0.2">
      <c r="A58" s="376"/>
      <c r="B58" s="368"/>
      <c r="C58" s="240" t="s">
        <v>47</v>
      </c>
      <c r="D58" s="238" t="s">
        <v>41</v>
      </c>
      <c r="E58" s="386"/>
      <c r="F58" s="387"/>
      <c r="G58" s="414"/>
      <c r="H58" s="415"/>
      <c r="I58" s="408"/>
      <c r="J58" s="409"/>
      <c r="K58" s="184"/>
    </row>
    <row r="59" spans="1:11" ht="20.149999999999999" customHeight="1" x14ac:dyDescent="0.2">
      <c r="A59" s="377"/>
      <c r="B59" s="369"/>
      <c r="C59" s="180" t="s">
        <v>47</v>
      </c>
      <c r="D59" s="238" t="s">
        <v>43</v>
      </c>
      <c r="E59" s="378"/>
      <c r="F59" s="379"/>
      <c r="G59" s="180">
        <v>0</v>
      </c>
      <c r="H59" s="238" t="s">
        <v>44</v>
      </c>
      <c r="I59" s="408"/>
      <c r="J59" s="409"/>
      <c r="K59" s="184"/>
    </row>
    <row r="60" spans="1:11" ht="20.149999999999999" customHeight="1" x14ac:dyDescent="0.2"/>
    <row r="61" spans="1:11" ht="20.149999999999999" customHeight="1" x14ac:dyDescent="0.2">
      <c r="A61" s="5" t="s">
        <v>234</v>
      </c>
      <c r="I61" s="28"/>
      <c r="J61" s="28"/>
      <c r="K61" s="28" t="s">
        <v>55</v>
      </c>
    </row>
    <row r="62" spans="1:11" ht="20.149999999999999" customHeight="1" x14ac:dyDescent="0.2">
      <c r="A62" s="426" t="s">
        <v>237</v>
      </c>
      <c r="B62" s="427"/>
      <c r="C62" s="428"/>
      <c r="D62" s="429"/>
      <c r="E62" s="430"/>
      <c r="F62" s="430"/>
      <c r="G62" s="430"/>
      <c r="H62" s="430"/>
      <c r="I62" s="430"/>
      <c r="J62" s="430"/>
      <c r="K62" s="431"/>
    </row>
    <row r="63" spans="1:11" ht="14.5" thickBot="1" x14ac:dyDescent="0.25">
      <c r="A63" s="422" t="s">
        <v>54</v>
      </c>
      <c r="B63" s="423"/>
      <c r="C63" s="423"/>
      <c r="D63" s="396">
        <f>IF(判定!D8=TRUE,IF(OR(判定!C4,判定!D4)=TRUE,MIN(ROUNDDOWN(D62,-3),1200000),MIN(ROUNDDOWN(D62,-3),1025000)),IF(OR(判定!C4,判定!D4)=TRUE,MIN(ROUNDDOWN(D62,-3),950000),MIN(ROUNDDOWN(D62,-3),766000)))</f>
        <v>0</v>
      </c>
      <c r="E63" s="397"/>
      <c r="F63" s="397"/>
      <c r="G63" s="397"/>
      <c r="H63" s="397"/>
      <c r="I63" s="397"/>
      <c r="J63" s="397"/>
      <c r="K63" s="398"/>
    </row>
    <row r="64" spans="1:11" ht="19.5" customHeight="1" thickBot="1" x14ac:dyDescent="0.25">
      <c r="A64" s="394" t="s">
        <v>111</v>
      </c>
      <c r="B64" s="395"/>
      <c r="C64" s="395"/>
      <c r="D64" s="399"/>
      <c r="E64" s="400"/>
      <c r="F64" s="400"/>
      <c r="G64" s="400"/>
      <c r="H64" s="400"/>
      <c r="I64" s="400"/>
      <c r="J64" s="400"/>
      <c r="K64" s="401"/>
    </row>
    <row r="65" spans="1:11" ht="16.5" customHeight="1" thickBot="1" x14ac:dyDescent="0.25">
      <c r="A65" s="402" t="s">
        <v>124</v>
      </c>
      <c r="B65" s="403"/>
      <c r="C65" s="404"/>
      <c r="D65" s="405">
        <f>'計算（様式1-2）'!G39</f>
        <v>0</v>
      </c>
      <c r="E65" s="406"/>
      <c r="F65" s="406"/>
      <c r="G65" s="239" t="s">
        <v>119</v>
      </c>
      <c r="H65" s="407">
        <f>様式１!M20</f>
        <v>0</v>
      </c>
      <c r="I65" s="407"/>
      <c r="J65" s="47" t="s">
        <v>118</v>
      </c>
      <c r="K65" s="46">
        <f>D65*H65</f>
        <v>0</v>
      </c>
    </row>
    <row r="66" spans="1:11" x14ac:dyDescent="0.2">
      <c r="E66" s="45" t="s">
        <v>121</v>
      </c>
    </row>
    <row r="72" spans="1:11" x14ac:dyDescent="0.2">
      <c r="A72" s="6" t="s">
        <v>82</v>
      </c>
    </row>
    <row r="73" spans="1:11" x14ac:dyDescent="0.2">
      <c r="A73" s="6" t="s">
        <v>48</v>
      </c>
    </row>
  </sheetData>
  <sheetProtection sheet="1" selectLockedCells="1"/>
  <mergeCells count="99">
    <mergeCell ref="A65:C65"/>
    <mergeCell ref="D65:F65"/>
    <mergeCell ref="H65:I65"/>
    <mergeCell ref="A64:C64"/>
    <mergeCell ref="E59:F59"/>
    <mergeCell ref="I59:J59"/>
    <mergeCell ref="A62:C62"/>
    <mergeCell ref="A63:C63"/>
    <mergeCell ref="D64:K64"/>
    <mergeCell ref="D63:K63"/>
    <mergeCell ref="D62:K62"/>
    <mergeCell ref="A53:A59"/>
    <mergeCell ref="B53:B59"/>
    <mergeCell ref="C53:C55"/>
    <mergeCell ref="D53:D55"/>
    <mergeCell ref="I54:J54"/>
    <mergeCell ref="I55:J55"/>
    <mergeCell ref="E56:F58"/>
    <mergeCell ref="G56:H56"/>
    <mergeCell ref="I56:J56"/>
    <mergeCell ref="I57:J57"/>
    <mergeCell ref="G58:H58"/>
    <mergeCell ref="I58:J58"/>
    <mergeCell ref="G49:H49"/>
    <mergeCell ref="G51:H51"/>
    <mergeCell ref="E52:F52"/>
    <mergeCell ref="A39:A45"/>
    <mergeCell ref="B39:B45"/>
    <mergeCell ref="C39:C41"/>
    <mergeCell ref="D39:D41"/>
    <mergeCell ref="E42:F44"/>
    <mergeCell ref="G42:H42"/>
    <mergeCell ref="G44:H44"/>
    <mergeCell ref="E45:F45"/>
    <mergeCell ref="A46:A52"/>
    <mergeCell ref="B46:B52"/>
    <mergeCell ref="C46:C48"/>
    <mergeCell ref="D46:D48"/>
    <mergeCell ref="E49:F51"/>
    <mergeCell ref="I42:J42"/>
    <mergeCell ref="I49:J49"/>
    <mergeCell ref="I50:J50"/>
    <mergeCell ref="I51:J51"/>
    <mergeCell ref="I38:J38"/>
    <mergeCell ref="I52:J52"/>
    <mergeCell ref="I53:J53"/>
    <mergeCell ref="I33:J33"/>
    <mergeCell ref="I34:J34"/>
    <mergeCell ref="I35:J35"/>
    <mergeCell ref="I36:J36"/>
    <mergeCell ref="I37:J37"/>
    <mergeCell ref="I43:J43"/>
    <mergeCell ref="I44:J44"/>
    <mergeCell ref="I45:J45"/>
    <mergeCell ref="I46:J46"/>
    <mergeCell ref="I47:J47"/>
    <mergeCell ref="I48:J48"/>
    <mergeCell ref="I39:J39"/>
    <mergeCell ref="I40:J40"/>
    <mergeCell ref="I41:J41"/>
    <mergeCell ref="B25:B31"/>
    <mergeCell ref="A18:A24"/>
    <mergeCell ref="B18:B24"/>
    <mergeCell ref="E21:F23"/>
    <mergeCell ref="A25:A31"/>
    <mergeCell ref="C25:C27"/>
    <mergeCell ref="D25:D27"/>
    <mergeCell ref="A32:A38"/>
    <mergeCell ref="B32:B38"/>
    <mergeCell ref="C32:C34"/>
    <mergeCell ref="D32:D34"/>
    <mergeCell ref="G35:H35"/>
    <mergeCell ref="G37:H37"/>
    <mergeCell ref="I18:J18"/>
    <mergeCell ref="I19:J19"/>
    <mergeCell ref="I20:J20"/>
    <mergeCell ref="I21:J21"/>
    <mergeCell ref="I22:J22"/>
    <mergeCell ref="I24:J24"/>
    <mergeCell ref="I23:J23"/>
    <mergeCell ref="I25:J25"/>
    <mergeCell ref="I26:J26"/>
    <mergeCell ref="I27:J27"/>
    <mergeCell ref="C17:F17"/>
    <mergeCell ref="G17:H17"/>
    <mergeCell ref="I17:J17"/>
    <mergeCell ref="E38:F38"/>
    <mergeCell ref="I28:J28"/>
    <mergeCell ref="I29:J29"/>
    <mergeCell ref="I30:J30"/>
    <mergeCell ref="I31:J31"/>
    <mergeCell ref="I32:J32"/>
    <mergeCell ref="E28:F30"/>
    <mergeCell ref="G28:H28"/>
    <mergeCell ref="G30:H30"/>
    <mergeCell ref="E31:F31"/>
    <mergeCell ref="E35:F37"/>
    <mergeCell ref="D18:D20"/>
    <mergeCell ref="C18:C20"/>
  </mergeCells>
  <phoneticPr fontId="1"/>
  <dataValidations disablePrompts="1" count="1">
    <dataValidation type="list" allowBlank="1" showInputMessage="1" showErrorMessage="1" sqref="C18 E53:E55 E46:E48 E39:E41 E32:E34 E25:E27 E18:E20 C21:C25 C35:C39 C28:C32 C42:C46 C49:C53 C56:C59">
      <formula1>$A$72:$A$73</formula1>
    </dataValidation>
  </dataValidations>
  <printOptions horizontalCentered="1" verticalCentered="1"/>
  <pageMargins left="0.51181102362204722" right="0.59055118110236227" top="0.55118110236220474" bottom="0.55118110236220474" header="0.31496062992125984" footer="0.31496062992125984"/>
  <pageSetup paperSize="9" scale="76" orientation="portrait" r:id="rId1"/>
  <headerFooter alignWithMargins="0"/>
  <colBreaks count="1" manualBreakCount="1">
    <brk id="11" max="56" man="1"/>
  </colBreaks>
  <drawing r:id="rId2"/>
  <legacyDrawing r:id="rId3"/>
  <mc:AlternateContent xmlns:mc="http://schemas.openxmlformats.org/markup-compatibility/2006">
    <mc:Choice Requires="x14">
      <controls>
        <mc:AlternateContent xmlns:mc="http://schemas.openxmlformats.org/markup-compatibility/2006">
          <mc:Choice Requires="x14">
            <control shapeId="2078" r:id="rId4" name="Check Box 30">
              <controlPr locked="0" defaultSize="0" autoFill="0" autoLine="0" autoPict="0">
                <anchor moveWithCells="1">
                  <from>
                    <xdr:col>0</xdr:col>
                    <xdr:colOff>133350</xdr:colOff>
                    <xdr:row>6</xdr:row>
                    <xdr:rowOff>165100</xdr:rowOff>
                  </from>
                  <to>
                    <xdr:col>0</xdr:col>
                    <xdr:colOff>355600</xdr:colOff>
                    <xdr:row>12</xdr:row>
                    <xdr:rowOff>69850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B92"/>
  <sheetViews>
    <sheetView workbookViewId="0">
      <selection activeCell="B3" sqref="B3"/>
    </sheetView>
  </sheetViews>
  <sheetFormatPr defaultRowHeight="14" x14ac:dyDescent="0.2"/>
  <cols>
    <col min="1" max="1" width="4.7265625" style="6" customWidth="1"/>
    <col min="2" max="13" width="5.08984375" style="9" customWidth="1"/>
    <col min="14" max="14" width="7.6328125" style="9" customWidth="1"/>
    <col min="15" max="21" width="7.6328125" style="6" customWidth="1"/>
    <col min="22" max="22" width="6.453125" style="6" customWidth="1"/>
    <col min="23" max="25" width="7.6328125" style="6" customWidth="1"/>
    <col min="26" max="27" width="5.6328125" style="6" customWidth="1"/>
    <col min="28" max="28" width="7" style="6" customWidth="1"/>
    <col min="29" max="37" width="5.6328125" style="6" customWidth="1"/>
    <col min="38" max="38" width="6.08984375" style="6" customWidth="1"/>
    <col min="39" max="54" width="9" style="6"/>
  </cols>
  <sheetData>
    <row r="1" spans="1:54" x14ac:dyDescent="0.2">
      <c r="A1" s="6" t="s">
        <v>99</v>
      </c>
    </row>
    <row r="2" spans="1:54" x14ac:dyDescent="0.2">
      <c r="A2" s="9">
        <v>1</v>
      </c>
      <c r="B2" s="9">
        <v>2</v>
      </c>
      <c r="C2" s="9">
        <v>3</v>
      </c>
      <c r="D2" s="9">
        <v>4</v>
      </c>
      <c r="E2" s="9">
        <v>5</v>
      </c>
      <c r="F2" s="9">
        <v>6</v>
      </c>
      <c r="G2" s="9">
        <v>7</v>
      </c>
      <c r="H2" s="9">
        <v>8</v>
      </c>
      <c r="I2" s="9">
        <v>9</v>
      </c>
      <c r="J2" s="9">
        <v>10</v>
      </c>
      <c r="K2" s="9">
        <v>11</v>
      </c>
      <c r="L2" s="9">
        <v>12</v>
      </c>
      <c r="M2" s="9">
        <v>13</v>
      </c>
      <c r="N2" s="9">
        <v>14</v>
      </c>
      <c r="O2" s="9">
        <v>15</v>
      </c>
      <c r="P2" s="9">
        <v>16</v>
      </c>
      <c r="Q2" s="9">
        <v>17</v>
      </c>
      <c r="R2" s="9">
        <v>18</v>
      </c>
      <c r="S2" s="9">
        <v>19</v>
      </c>
      <c r="T2" s="9">
        <v>20</v>
      </c>
      <c r="U2" s="9">
        <v>21</v>
      </c>
      <c r="V2" s="9">
        <v>22</v>
      </c>
      <c r="W2" s="9">
        <v>23</v>
      </c>
      <c r="X2" s="9">
        <v>24</v>
      </c>
      <c r="Y2" s="9">
        <v>25</v>
      </c>
      <c r="Z2" s="9">
        <v>26</v>
      </c>
      <c r="AA2" s="9">
        <v>27</v>
      </c>
      <c r="AB2" s="9">
        <v>28</v>
      </c>
      <c r="AC2" s="9">
        <v>29</v>
      </c>
      <c r="AD2" s="9">
        <v>30</v>
      </c>
      <c r="AE2" s="9">
        <v>31</v>
      </c>
      <c r="AF2" s="9">
        <v>32</v>
      </c>
      <c r="AG2" s="9">
        <v>33</v>
      </c>
      <c r="AH2" s="9">
        <v>34</v>
      </c>
      <c r="AI2" s="9">
        <v>35</v>
      </c>
      <c r="AJ2" s="9">
        <v>36</v>
      </c>
      <c r="AK2" s="9">
        <v>37</v>
      </c>
      <c r="AL2" s="58"/>
      <c r="AM2" s="58"/>
      <c r="AN2" s="58"/>
      <c r="AO2" s="58"/>
      <c r="AP2" s="58"/>
      <c r="AQ2" s="58"/>
      <c r="AR2" s="58"/>
      <c r="AS2" s="58"/>
      <c r="AT2" s="58"/>
      <c r="AU2" s="58"/>
      <c r="AV2" s="58"/>
      <c r="AW2" s="58"/>
      <c r="AX2" s="58"/>
      <c r="AY2" s="58"/>
      <c r="AZ2" s="58"/>
      <c r="BA2" s="58"/>
      <c r="BB2" s="58"/>
    </row>
    <row r="3" spans="1:54" x14ac:dyDescent="0.2">
      <c r="A3" s="58"/>
      <c r="B3" s="110"/>
      <c r="C3" s="110"/>
      <c r="D3" s="110"/>
      <c r="E3" s="110"/>
      <c r="F3" s="110"/>
      <c r="G3" s="110"/>
      <c r="H3" s="110"/>
      <c r="I3" s="110"/>
      <c r="J3" s="110"/>
      <c r="K3" s="110"/>
      <c r="L3" s="111"/>
      <c r="M3" s="111"/>
      <c r="N3" s="62"/>
      <c r="O3" s="58"/>
      <c r="P3" s="58"/>
      <c r="Q3" s="58"/>
      <c r="R3" s="58"/>
      <c r="S3" s="58"/>
      <c r="T3" s="58"/>
      <c r="U3" s="58"/>
      <c r="V3" s="58"/>
      <c r="W3" s="58"/>
      <c r="X3" s="58"/>
      <c r="Y3" s="58"/>
      <c r="Z3" s="58"/>
      <c r="AA3" s="58">
        <v>120</v>
      </c>
      <c r="AB3" s="58" t="s">
        <v>85</v>
      </c>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row>
    <row r="4" spans="1:54" x14ac:dyDescent="0.2">
      <c r="A4" s="58"/>
      <c r="B4" s="436" t="s">
        <v>78</v>
      </c>
      <c r="C4" s="437"/>
      <c r="D4" s="437"/>
      <c r="E4" s="438"/>
      <c r="F4" s="436" t="s">
        <v>79</v>
      </c>
      <c r="G4" s="437"/>
      <c r="H4" s="437"/>
      <c r="I4" s="438"/>
      <c r="J4" s="436" t="s">
        <v>80</v>
      </c>
      <c r="K4" s="437"/>
      <c r="L4" s="437"/>
      <c r="M4" s="438"/>
      <c r="N4" s="476" t="s">
        <v>70</v>
      </c>
      <c r="O4" s="477"/>
      <c r="P4" s="477"/>
      <c r="Q4" s="478"/>
      <c r="R4" s="476" t="s">
        <v>71</v>
      </c>
      <c r="S4" s="477"/>
      <c r="T4" s="477"/>
      <c r="U4" s="478"/>
      <c r="V4" s="476" t="s">
        <v>72</v>
      </c>
      <c r="W4" s="477"/>
      <c r="X4" s="477"/>
      <c r="Y4" s="478"/>
      <c r="Z4" s="439" t="s">
        <v>70</v>
      </c>
      <c r="AA4" s="440"/>
      <c r="AB4" s="440"/>
      <c r="AC4" s="441"/>
      <c r="AD4" s="439" t="s">
        <v>71</v>
      </c>
      <c r="AE4" s="440"/>
      <c r="AF4" s="440"/>
      <c r="AG4" s="441"/>
      <c r="AH4" s="439" t="s">
        <v>72</v>
      </c>
      <c r="AI4" s="440"/>
      <c r="AJ4" s="440"/>
      <c r="AK4" s="441"/>
      <c r="AL4" s="66"/>
      <c r="AM4" s="66"/>
      <c r="AN4" s="66"/>
      <c r="AO4" s="66"/>
      <c r="AP4" s="66"/>
      <c r="AQ4" s="66"/>
      <c r="AR4" s="66"/>
      <c r="AS4" s="66"/>
      <c r="AT4" s="66"/>
      <c r="AU4" s="66"/>
      <c r="AV4" s="66"/>
      <c r="AW4" s="66"/>
      <c r="AX4" s="66"/>
      <c r="AY4" s="66"/>
      <c r="AZ4" s="66"/>
      <c r="BA4" s="66"/>
      <c r="BB4" s="66"/>
    </row>
    <row r="5" spans="1:54" x14ac:dyDescent="0.2">
      <c r="A5" s="66"/>
      <c r="B5" s="68" t="s">
        <v>42</v>
      </c>
      <c r="C5" s="69" t="s">
        <v>58</v>
      </c>
      <c r="D5" s="69" t="s">
        <v>106</v>
      </c>
      <c r="E5" s="69" t="s">
        <v>81</v>
      </c>
      <c r="F5" s="68" t="s">
        <v>42</v>
      </c>
      <c r="G5" s="69" t="s">
        <v>58</v>
      </c>
      <c r="H5" s="69" t="s">
        <v>106</v>
      </c>
      <c r="I5" s="69" t="s">
        <v>81</v>
      </c>
      <c r="J5" s="68" t="s">
        <v>42</v>
      </c>
      <c r="K5" s="69" t="s">
        <v>58</v>
      </c>
      <c r="L5" s="69" t="s">
        <v>106</v>
      </c>
      <c r="M5" s="70" t="s">
        <v>81</v>
      </c>
      <c r="N5" s="147">
        <v>2</v>
      </c>
      <c r="O5" s="112">
        <v>3</v>
      </c>
      <c r="P5" s="112">
        <v>4</v>
      </c>
      <c r="Q5" s="112">
        <v>5</v>
      </c>
      <c r="R5" s="112">
        <v>2</v>
      </c>
      <c r="S5" s="112">
        <v>3</v>
      </c>
      <c r="T5" s="112">
        <v>4</v>
      </c>
      <c r="U5" s="112">
        <v>5</v>
      </c>
      <c r="V5" s="112">
        <v>2</v>
      </c>
      <c r="W5" s="112">
        <v>3</v>
      </c>
      <c r="X5" s="112">
        <v>4</v>
      </c>
      <c r="Y5" s="112">
        <v>5</v>
      </c>
      <c r="Z5" s="202">
        <v>2</v>
      </c>
      <c r="AA5" s="104">
        <v>3</v>
      </c>
      <c r="AB5" s="104">
        <v>4</v>
      </c>
      <c r="AC5" s="105">
        <v>5</v>
      </c>
      <c r="AD5" s="205">
        <v>2</v>
      </c>
      <c r="AE5" s="149">
        <v>3</v>
      </c>
      <c r="AF5" s="104">
        <v>4</v>
      </c>
      <c r="AG5" s="105">
        <v>5</v>
      </c>
      <c r="AH5" s="205">
        <v>2</v>
      </c>
      <c r="AI5" s="149">
        <v>3</v>
      </c>
      <c r="AJ5" s="104">
        <v>4</v>
      </c>
      <c r="AK5" s="105">
        <v>5</v>
      </c>
      <c r="AL5" s="66"/>
      <c r="AM5" s="66"/>
      <c r="AN5" s="66"/>
      <c r="AO5" s="66"/>
      <c r="AP5" s="66"/>
      <c r="AQ5" s="66"/>
      <c r="AR5" s="66"/>
      <c r="AS5" s="66"/>
      <c r="AT5" s="66"/>
      <c r="AU5" s="66"/>
      <c r="AV5" s="66"/>
      <c r="AW5" s="66"/>
      <c r="AX5" s="66"/>
      <c r="AY5" s="66"/>
      <c r="AZ5" s="66"/>
      <c r="BA5" s="66"/>
      <c r="BB5" s="66"/>
    </row>
    <row r="6" spans="1:54" x14ac:dyDescent="0.2">
      <c r="A6" s="65" t="str">
        <f>IF(AND('様式１－２'!$C$18="☑",'様式１－２'!$C$21="□",'様式１－２'!$C$22="□",'様式１－２'!$C$23="□",'様式１－２'!$C$25="□",'様式１－２'!$C$28="□",'様式１－２'!$C$29="□",'様式１－２'!$C$30="□",'様式１－２'!$C$32="□",'様式１－２'!$C$35="□",'様式１－２'!$C$36="□",'様式１－２'!$C$37="□"),"★","")</f>
        <v/>
      </c>
      <c r="B6" s="68" t="s">
        <v>120</v>
      </c>
      <c r="C6" s="69"/>
      <c r="D6" s="69"/>
      <c r="E6" s="73"/>
      <c r="F6" s="68"/>
      <c r="G6" s="69"/>
      <c r="H6" s="69"/>
      <c r="I6" s="69"/>
      <c r="J6" s="68"/>
      <c r="K6" s="69"/>
      <c r="L6" s="69"/>
      <c r="M6" s="70"/>
      <c r="N6" s="147">
        <v>1779</v>
      </c>
      <c r="O6" s="113">
        <v>1779</v>
      </c>
      <c r="P6" s="113">
        <v>1438</v>
      </c>
      <c r="Q6" s="113">
        <v>1130</v>
      </c>
      <c r="R6" s="113">
        <v>1241</v>
      </c>
      <c r="S6" s="113">
        <v>1241</v>
      </c>
      <c r="T6" s="113">
        <v>936</v>
      </c>
      <c r="U6" s="113">
        <v>1045</v>
      </c>
      <c r="V6" s="113">
        <v>1078</v>
      </c>
      <c r="W6" s="113">
        <v>1078</v>
      </c>
      <c r="X6" s="113">
        <v>808</v>
      </c>
      <c r="Y6" s="113">
        <v>920</v>
      </c>
      <c r="Z6" s="206">
        <f t="shared" ref="Z6:Z29" si="0">ROUND(N6/$AA$3,1)</f>
        <v>14.8</v>
      </c>
      <c r="AA6" s="150">
        <f t="shared" ref="AA6:AA29" si="1">ROUND(O6/$AA$3,1)</f>
        <v>14.8</v>
      </c>
      <c r="AB6" s="108">
        <f t="shared" ref="AB6:AB29" si="2">ROUND(P6/$AA$3,1)</f>
        <v>12</v>
      </c>
      <c r="AC6" s="109">
        <f t="shared" ref="AC6:AC29" si="3">ROUND(Q6/$AA$3,1)</f>
        <v>9.4</v>
      </c>
      <c r="AD6" s="107">
        <f t="shared" ref="AD6:AD29" si="4">ROUND(R6/$AA$3,1)</f>
        <v>10.3</v>
      </c>
      <c r="AE6" s="150">
        <f t="shared" ref="AE6:AE29" si="5">ROUND(S6/$AA$3,1)</f>
        <v>10.3</v>
      </c>
      <c r="AF6" s="108">
        <f t="shared" ref="AF6:AF29" si="6">ROUND(T6/$AA$3,1)</f>
        <v>7.8</v>
      </c>
      <c r="AG6" s="109">
        <f t="shared" ref="AG6:AG29" si="7">ROUND(U6/$AA$3,1)</f>
        <v>8.6999999999999993</v>
      </c>
      <c r="AH6" s="107">
        <f t="shared" ref="AH6:AH29" si="8">ROUND(V6/$AA$3,1)</f>
        <v>9</v>
      </c>
      <c r="AI6" s="150">
        <f t="shared" ref="AI6:AI29" si="9">ROUND(W6/$AA$3,1)</f>
        <v>9</v>
      </c>
      <c r="AJ6" s="108">
        <f t="shared" ref="AJ6:AJ29" si="10">ROUND(X6/$AA$3,1)</f>
        <v>6.7</v>
      </c>
      <c r="AK6" s="109">
        <f t="shared" ref="AK6:AK29" si="11">ROUND(Y6/$AA$3,1)</f>
        <v>7.7</v>
      </c>
      <c r="AL6" s="66"/>
      <c r="AM6" s="66"/>
      <c r="AN6" s="66"/>
      <c r="AO6" s="66"/>
      <c r="AP6" s="66"/>
      <c r="AQ6" s="66"/>
      <c r="AR6" s="66"/>
      <c r="AS6" s="66"/>
      <c r="AT6" s="66"/>
      <c r="AU6" s="66"/>
      <c r="AV6" s="66"/>
      <c r="AW6" s="66"/>
      <c r="AX6" s="66"/>
      <c r="AY6" s="66"/>
      <c r="AZ6" s="66"/>
      <c r="BA6" s="66"/>
      <c r="BB6" s="66"/>
    </row>
    <row r="7" spans="1:54" x14ac:dyDescent="0.2">
      <c r="A7" s="65" t="str">
        <f>IF(AND('様式１－２'!$C$18="☑",'様式１－２'!$C$21="□",'様式１－２'!$C$22="□",'様式１－２'!$C$23="□",'様式１－２'!$C$25="☑",'様式１－２'!$C$28="□",'様式１－２'!$C$29="□",'様式１－２'!$C$30="□",'様式１－２'!$C$32="□",'様式１－２'!$C$35="□",'様式１－２'!$C$36="□",'様式１－２'!$C$37="□"),"★","")</f>
        <v/>
      </c>
      <c r="B7" s="68" t="s">
        <v>120</v>
      </c>
      <c r="C7" s="69"/>
      <c r="D7" s="69"/>
      <c r="E7" s="73"/>
      <c r="F7" s="68" t="s">
        <v>120</v>
      </c>
      <c r="G7" s="69"/>
      <c r="H7" s="69"/>
      <c r="I7" s="69"/>
      <c r="J7" s="68"/>
      <c r="K7" s="69"/>
      <c r="L7" s="69"/>
      <c r="M7" s="70"/>
      <c r="N7" s="147">
        <v>2858</v>
      </c>
      <c r="O7" s="113">
        <v>2858</v>
      </c>
      <c r="P7" s="113">
        <v>2257</v>
      </c>
      <c r="Q7" s="113">
        <v>2001</v>
      </c>
      <c r="R7" s="113">
        <v>2151</v>
      </c>
      <c r="S7" s="113">
        <v>2151</v>
      </c>
      <c r="T7" s="113">
        <v>1610</v>
      </c>
      <c r="U7" s="113">
        <v>1615</v>
      </c>
      <c r="V7" s="113">
        <v>1860</v>
      </c>
      <c r="W7" s="113">
        <v>1860</v>
      </c>
      <c r="X7" s="113">
        <v>1379</v>
      </c>
      <c r="Y7" s="113">
        <v>1423</v>
      </c>
      <c r="Z7" s="206">
        <f t="shared" si="0"/>
        <v>23.8</v>
      </c>
      <c r="AA7" s="150">
        <f t="shared" si="1"/>
        <v>23.8</v>
      </c>
      <c r="AB7" s="108">
        <f t="shared" si="2"/>
        <v>18.8</v>
      </c>
      <c r="AC7" s="109">
        <f t="shared" si="3"/>
        <v>16.7</v>
      </c>
      <c r="AD7" s="107">
        <f t="shared" si="4"/>
        <v>17.899999999999999</v>
      </c>
      <c r="AE7" s="150">
        <f t="shared" si="5"/>
        <v>17.899999999999999</v>
      </c>
      <c r="AF7" s="108">
        <f t="shared" si="6"/>
        <v>13.4</v>
      </c>
      <c r="AG7" s="109">
        <f t="shared" si="7"/>
        <v>13.5</v>
      </c>
      <c r="AH7" s="107">
        <f t="shared" si="8"/>
        <v>15.5</v>
      </c>
      <c r="AI7" s="150">
        <f t="shared" si="9"/>
        <v>15.5</v>
      </c>
      <c r="AJ7" s="108">
        <f t="shared" si="10"/>
        <v>11.5</v>
      </c>
      <c r="AK7" s="109">
        <f t="shared" si="11"/>
        <v>11.9</v>
      </c>
      <c r="AL7" s="66"/>
      <c r="AM7" s="66"/>
      <c r="AN7" s="66"/>
      <c r="AO7" s="66"/>
      <c r="AP7" s="66"/>
      <c r="AQ7" s="66"/>
      <c r="AR7" s="66"/>
      <c r="AS7" s="66"/>
      <c r="AT7" s="66"/>
      <c r="AU7" s="66"/>
      <c r="AV7" s="66"/>
      <c r="AW7" s="66"/>
      <c r="AX7" s="66"/>
      <c r="AY7" s="66"/>
      <c r="AZ7" s="66"/>
      <c r="BA7" s="66"/>
      <c r="BB7" s="66"/>
    </row>
    <row r="8" spans="1:54" x14ac:dyDescent="0.2">
      <c r="A8" s="65" t="str">
        <f>IF(AND('様式１－２'!$C$18="☑",'様式１－２'!$C$21="□",'様式１－２'!$C$22="□",'様式１－２'!$C$23="□",'様式１－２'!$C$25="☑",'様式１－２'!$C$28="□",'様式１－２'!$C$29="□",'様式１－２'!$C$30="□",'様式１－２'!$C$32="☑",'様式１－２'!$C$35="□",'様式１－２'!$C$36="□",'様式１－２'!$C$37="□"),"★","")</f>
        <v/>
      </c>
      <c r="B8" s="68" t="s">
        <v>120</v>
      </c>
      <c r="C8" s="69"/>
      <c r="D8" s="69"/>
      <c r="E8" s="73"/>
      <c r="F8" s="68" t="s">
        <v>61</v>
      </c>
      <c r="G8" s="69"/>
      <c r="H8" s="69"/>
      <c r="I8" s="69"/>
      <c r="J8" s="68" t="s">
        <v>120</v>
      </c>
      <c r="K8" s="69"/>
      <c r="L8" s="69"/>
      <c r="M8" s="70"/>
      <c r="N8" s="147">
        <v>4265</v>
      </c>
      <c r="O8" s="113">
        <v>4265</v>
      </c>
      <c r="P8" s="113">
        <v>3326</v>
      </c>
      <c r="Q8" s="113">
        <v>3137</v>
      </c>
      <c r="R8" s="113">
        <v>3337</v>
      </c>
      <c r="S8" s="113">
        <v>3337</v>
      </c>
      <c r="T8" s="113">
        <v>2489</v>
      </c>
      <c r="U8" s="113">
        <v>2359</v>
      </c>
      <c r="V8" s="113">
        <v>2880</v>
      </c>
      <c r="W8" s="113">
        <v>2880</v>
      </c>
      <c r="X8" s="113">
        <v>2125</v>
      </c>
      <c r="Y8" s="113">
        <v>2079</v>
      </c>
      <c r="Z8" s="206">
        <f t="shared" si="0"/>
        <v>35.5</v>
      </c>
      <c r="AA8" s="150">
        <f t="shared" si="1"/>
        <v>35.5</v>
      </c>
      <c r="AB8" s="108">
        <f t="shared" si="2"/>
        <v>27.7</v>
      </c>
      <c r="AC8" s="109">
        <f t="shared" si="3"/>
        <v>26.1</v>
      </c>
      <c r="AD8" s="107">
        <f t="shared" si="4"/>
        <v>27.8</v>
      </c>
      <c r="AE8" s="150">
        <f t="shared" si="5"/>
        <v>27.8</v>
      </c>
      <c r="AF8" s="108">
        <f t="shared" si="6"/>
        <v>20.7</v>
      </c>
      <c r="AG8" s="109">
        <f t="shared" si="7"/>
        <v>19.7</v>
      </c>
      <c r="AH8" s="107">
        <f t="shared" si="8"/>
        <v>24</v>
      </c>
      <c r="AI8" s="150">
        <f t="shared" si="9"/>
        <v>24</v>
      </c>
      <c r="AJ8" s="108">
        <f t="shared" si="10"/>
        <v>17.7</v>
      </c>
      <c r="AK8" s="109">
        <f t="shared" si="11"/>
        <v>17.3</v>
      </c>
      <c r="AL8" s="66"/>
      <c r="AM8" s="66"/>
      <c r="AN8" s="66"/>
      <c r="AO8" s="66"/>
      <c r="AP8" s="66"/>
      <c r="AQ8" s="66"/>
      <c r="AR8" s="66"/>
      <c r="AS8" s="66"/>
      <c r="AT8" s="66"/>
      <c r="AU8" s="66"/>
      <c r="AV8" s="66"/>
      <c r="AW8" s="66"/>
      <c r="AX8" s="66"/>
      <c r="AY8" s="66"/>
      <c r="AZ8" s="66"/>
      <c r="BA8" s="66"/>
      <c r="BB8" s="66"/>
    </row>
    <row r="9" spans="1:54" x14ac:dyDescent="0.2">
      <c r="A9" s="65" t="str">
        <f>IF(AND('様式１－２'!$C$18="☑",'様式１－２'!$C$21="☑",'様式１－２'!$C$22="□",'様式１－２'!$C$23="□",'様式１－２'!$C$25="□",'様式１－２'!$C$28="□",'様式１－２'!$C$29="□",'様式１－２'!$C$30="□",'様式１－２'!$C$32="□",'様式１－２'!$C$35="□",'様式１－２'!$C$36="□",'様式１－２'!$C$37="□"),"★","")</f>
        <v/>
      </c>
      <c r="B9" s="68" t="s">
        <v>61</v>
      </c>
      <c r="C9" s="69" t="s">
        <v>61</v>
      </c>
      <c r="D9" s="69"/>
      <c r="E9" s="73"/>
      <c r="F9" s="68"/>
      <c r="G9" s="69"/>
      <c r="H9" s="69"/>
      <c r="I9" s="69"/>
      <c r="J9" s="68"/>
      <c r="K9" s="69"/>
      <c r="L9" s="69"/>
      <c r="M9" s="70"/>
      <c r="N9" s="147">
        <v>2471</v>
      </c>
      <c r="O9" s="114">
        <v>2471</v>
      </c>
      <c r="P9" s="114">
        <v>1963</v>
      </c>
      <c r="Q9" s="114">
        <v>1688</v>
      </c>
      <c r="R9" s="114">
        <v>1503.5810332346168</v>
      </c>
      <c r="S9" s="114">
        <v>1503.5810332346168</v>
      </c>
      <c r="T9" s="114">
        <v>1085.6804080289571</v>
      </c>
      <c r="U9" s="50">
        <v>859.45467588022382</v>
      </c>
      <c r="V9" s="50">
        <v>1117.1163580796317</v>
      </c>
      <c r="W9" s="114">
        <v>1117.1163580796317</v>
      </c>
      <c r="X9" s="114">
        <v>762.77841796775272</v>
      </c>
      <c r="Y9" s="50">
        <v>570.96161967884177</v>
      </c>
      <c r="Z9" s="207">
        <f t="shared" si="0"/>
        <v>20.6</v>
      </c>
      <c r="AA9" s="150">
        <f t="shared" si="1"/>
        <v>20.6</v>
      </c>
      <c r="AB9" s="108">
        <f t="shared" si="2"/>
        <v>16.399999999999999</v>
      </c>
      <c r="AC9" s="109">
        <f t="shared" si="3"/>
        <v>14.1</v>
      </c>
      <c r="AD9" s="107">
        <f t="shared" si="4"/>
        <v>12.5</v>
      </c>
      <c r="AE9" s="150">
        <f t="shared" si="5"/>
        <v>12.5</v>
      </c>
      <c r="AF9" s="108">
        <f t="shared" si="6"/>
        <v>9</v>
      </c>
      <c r="AG9" s="109">
        <f t="shared" si="7"/>
        <v>7.2</v>
      </c>
      <c r="AH9" s="107">
        <f t="shared" si="8"/>
        <v>9.3000000000000007</v>
      </c>
      <c r="AI9" s="150">
        <f t="shared" si="9"/>
        <v>9.3000000000000007</v>
      </c>
      <c r="AJ9" s="108">
        <f t="shared" si="10"/>
        <v>6.4</v>
      </c>
      <c r="AK9" s="109">
        <f t="shared" si="11"/>
        <v>4.8</v>
      </c>
      <c r="AL9" s="66"/>
      <c r="AM9" s="66"/>
      <c r="AN9" s="66"/>
      <c r="AO9" s="66"/>
      <c r="AP9" s="66"/>
      <c r="AQ9" s="66"/>
      <c r="AR9" s="66"/>
      <c r="AS9" s="66"/>
      <c r="AT9" s="66"/>
      <c r="AU9" s="66"/>
      <c r="AV9" s="66"/>
      <c r="AW9" s="66"/>
      <c r="AX9" s="66"/>
      <c r="AY9" s="66"/>
      <c r="AZ9" s="66"/>
      <c r="BA9" s="66"/>
      <c r="BB9" s="66"/>
    </row>
    <row r="10" spans="1:54" x14ac:dyDescent="0.2">
      <c r="A10" s="65" t="str">
        <f>IF(AND('様式１－２'!$C$18="☑",'様式１－２'!$C$21="□",'様式１－２'!$C$22="☑",'様式１－２'!$C$23="□",'様式１－２'!$C$25="□",'様式１－２'!$C$28="□",'様式１－２'!$C$29="□",'様式１－２'!$C$30="□",'様式１－２'!$C$32="□",'様式１－２'!$C$35="□",'様式１－２'!$C$36="□",'様式１－２'!$C$37="□"),"★","")</f>
        <v/>
      </c>
      <c r="B10" s="68" t="s">
        <v>61</v>
      </c>
      <c r="C10" s="69"/>
      <c r="D10" s="69" t="s">
        <v>61</v>
      </c>
      <c r="E10" s="73"/>
      <c r="F10" s="68"/>
      <c r="G10" s="69"/>
      <c r="H10" s="69"/>
      <c r="I10" s="69"/>
      <c r="J10" s="68"/>
      <c r="K10" s="69"/>
      <c r="L10" s="69"/>
      <c r="M10" s="70"/>
      <c r="N10" s="147">
        <v>1839</v>
      </c>
      <c r="O10" s="114">
        <v>1839</v>
      </c>
      <c r="P10" s="114">
        <v>1461</v>
      </c>
      <c r="Q10" s="114">
        <v>1256</v>
      </c>
      <c r="R10" s="114">
        <v>983.67316880552823</v>
      </c>
      <c r="S10" s="114">
        <v>983.67316880552823</v>
      </c>
      <c r="T10" s="114">
        <v>672.71561697926961</v>
      </c>
      <c r="U10" s="50">
        <v>504.0746166502139</v>
      </c>
      <c r="V10" s="50">
        <v>676.28647983020744</v>
      </c>
      <c r="W10" s="114">
        <v>676.28647983020744</v>
      </c>
      <c r="X10" s="114">
        <v>412.62557163672273</v>
      </c>
      <c r="Y10" s="50">
        <v>269.63486745771638</v>
      </c>
      <c r="Z10" s="207">
        <f t="shared" si="0"/>
        <v>15.3</v>
      </c>
      <c r="AA10" s="150">
        <f t="shared" si="1"/>
        <v>15.3</v>
      </c>
      <c r="AB10" s="108">
        <f t="shared" si="2"/>
        <v>12.2</v>
      </c>
      <c r="AC10" s="109">
        <f t="shared" si="3"/>
        <v>10.5</v>
      </c>
      <c r="AD10" s="107">
        <f t="shared" si="4"/>
        <v>8.1999999999999993</v>
      </c>
      <c r="AE10" s="150">
        <f t="shared" si="5"/>
        <v>8.1999999999999993</v>
      </c>
      <c r="AF10" s="108">
        <f t="shared" si="6"/>
        <v>5.6</v>
      </c>
      <c r="AG10" s="109">
        <f t="shared" si="7"/>
        <v>4.2</v>
      </c>
      <c r="AH10" s="107">
        <f t="shared" si="8"/>
        <v>5.6</v>
      </c>
      <c r="AI10" s="150">
        <f t="shared" si="9"/>
        <v>5.6</v>
      </c>
      <c r="AJ10" s="108">
        <f t="shared" si="10"/>
        <v>3.4</v>
      </c>
      <c r="AK10" s="109">
        <f t="shared" si="11"/>
        <v>2.2000000000000002</v>
      </c>
      <c r="AL10" s="58"/>
      <c r="AM10" s="58"/>
      <c r="AN10" s="58"/>
      <c r="AO10" s="58"/>
      <c r="AP10" s="58"/>
      <c r="AQ10" s="58"/>
      <c r="AR10" s="58"/>
      <c r="AS10" s="58"/>
      <c r="AT10" s="58"/>
      <c r="AU10" s="58"/>
      <c r="AV10" s="58"/>
      <c r="AW10" s="58"/>
      <c r="AX10" s="58"/>
      <c r="AY10" s="58"/>
      <c r="AZ10" s="58"/>
      <c r="BA10" s="58"/>
      <c r="BB10" s="58"/>
    </row>
    <row r="11" spans="1:54" x14ac:dyDescent="0.2">
      <c r="A11" s="65" t="str">
        <f>IF(AND('様式１－２'!$C$18="☑",'様式１－２'!$C$21="□",'様式１－２'!$C$22="□",'様式１－２'!$C$23="☑",'様式１－２'!$C$25="□",'様式１－２'!$C$28="□",'様式１－２'!$C$29="□",'様式１－２'!$C$30="□",'様式１－２'!$C$32="□",'様式１－２'!$C$35="□",'様式１－２'!$C$36="□",'様式１－２'!$C$37="□"),"★","")</f>
        <v/>
      </c>
      <c r="B11" s="68" t="s">
        <v>60</v>
      </c>
      <c r="C11" s="69"/>
      <c r="D11" s="69"/>
      <c r="E11" s="73" t="s">
        <v>61</v>
      </c>
      <c r="F11" s="68"/>
      <c r="G11" s="69"/>
      <c r="H11" s="69"/>
      <c r="I11" s="69"/>
      <c r="J11" s="68"/>
      <c r="K11" s="69"/>
      <c r="L11" s="69"/>
      <c r="M11" s="70"/>
      <c r="N11" s="147">
        <v>1853</v>
      </c>
      <c r="O11" s="114">
        <v>1853</v>
      </c>
      <c r="P11" s="114">
        <v>1472</v>
      </c>
      <c r="Q11" s="114">
        <v>1266</v>
      </c>
      <c r="R11" s="114">
        <v>995.19011516946364</v>
      </c>
      <c r="S11" s="114">
        <v>995.19011516946364</v>
      </c>
      <c r="T11" s="114">
        <v>681.76464626521886</v>
      </c>
      <c r="U11" s="50">
        <v>512.30100691016776</v>
      </c>
      <c r="V11" s="50">
        <v>686.05169865218818</v>
      </c>
      <c r="W11" s="114">
        <v>686.05169865218818</v>
      </c>
      <c r="X11" s="114">
        <v>420.29824356827908</v>
      </c>
      <c r="Y11" s="50">
        <v>276.6100237591312</v>
      </c>
      <c r="Z11" s="207">
        <f t="shared" si="0"/>
        <v>15.4</v>
      </c>
      <c r="AA11" s="150">
        <f t="shared" si="1"/>
        <v>15.4</v>
      </c>
      <c r="AB11" s="108">
        <f t="shared" si="2"/>
        <v>12.3</v>
      </c>
      <c r="AC11" s="109">
        <f t="shared" si="3"/>
        <v>10.6</v>
      </c>
      <c r="AD11" s="107">
        <f t="shared" si="4"/>
        <v>8.3000000000000007</v>
      </c>
      <c r="AE11" s="150">
        <f t="shared" si="5"/>
        <v>8.3000000000000007</v>
      </c>
      <c r="AF11" s="108">
        <f t="shared" si="6"/>
        <v>5.7</v>
      </c>
      <c r="AG11" s="109">
        <f t="shared" si="7"/>
        <v>4.3</v>
      </c>
      <c r="AH11" s="107">
        <f t="shared" si="8"/>
        <v>5.7</v>
      </c>
      <c r="AI11" s="150">
        <f t="shared" si="9"/>
        <v>5.7</v>
      </c>
      <c r="AJ11" s="108">
        <f t="shared" si="10"/>
        <v>3.5</v>
      </c>
      <c r="AK11" s="109">
        <f t="shared" si="11"/>
        <v>2.2999999999999998</v>
      </c>
      <c r="AL11" s="66"/>
      <c r="AM11" s="66"/>
      <c r="AN11" s="66"/>
      <c r="AO11" s="66"/>
      <c r="AP11" s="66"/>
      <c r="AQ11" s="66"/>
      <c r="AR11" s="66"/>
      <c r="AS11" s="66"/>
      <c r="AT11" s="66"/>
      <c r="AU11" s="66"/>
      <c r="AV11" s="66"/>
      <c r="AW11" s="66"/>
      <c r="AX11" s="66"/>
      <c r="AY11" s="66"/>
      <c r="AZ11" s="66"/>
      <c r="BA11" s="66"/>
      <c r="BB11" s="66"/>
    </row>
    <row r="12" spans="1:54" x14ac:dyDescent="0.2">
      <c r="A12" s="65" t="str">
        <f>IF(AND('様式１－２'!$C$18="☑",'様式１－２'!$C$21="☑",'様式１－２'!$C$22="☑",'様式１－２'!$C$23="□",'様式１－２'!$C$25="□",'様式１－２'!$C$28="□",'様式１－２'!$C$29="□",'様式１－２'!$C$30="□",'様式１－２'!$C$32="□",'様式１－２'!$C$35="□",'様式１－２'!$C$36="□",'様式１－２'!$C$37="□"),"★","")</f>
        <v/>
      </c>
      <c r="B12" s="68" t="s">
        <v>60</v>
      </c>
      <c r="C12" s="69" t="s">
        <v>61</v>
      </c>
      <c r="D12" s="69" t="s">
        <v>61</v>
      </c>
      <c r="E12" s="73"/>
      <c r="F12" s="68"/>
      <c r="G12" s="69"/>
      <c r="H12" s="69"/>
      <c r="I12" s="69"/>
      <c r="J12" s="68"/>
      <c r="K12" s="69"/>
      <c r="L12" s="69"/>
      <c r="M12" s="70"/>
      <c r="N12" s="147">
        <v>2728</v>
      </c>
      <c r="O12" s="114">
        <v>2728</v>
      </c>
      <c r="P12" s="114">
        <v>2167</v>
      </c>
      <c r="Q12" s="114">
        <v>1864</v>
      </c>
      <c r="R12" s="114">
        <v>1714.9992629154326</v>
      </c>
      <c r="S12" s="114">
        <v>1714.9992629154326</v>
      </c>
      <c r="T12" s="114">
        <v>1253.4987693320172</v>
      </c>
      <c r="U12" s="50">
        <v>1004.2391444554129</v>
      </c>
      <c r="V12" s="50">
        <v>1296.3778750259953</v>
      </c>
      <c r="W12" s="114">
        <v>1296.3778750259953</v>
      </c>
      <c r="X12" s="114">
        <v>905.07160651661729</v>
      </c>
      <c r="Y12" s="50">
        <v>693.72437058374464</v>
      </c>
      <c r="Z12" s="207">
        <f t="shared" si="0"/>
        <v>22.7</v>
      </c>
      <c r="AA12" s="150">
        <f t="shared" si="1"/>
        <v>22.7</v>
      </c>
      <c r="AB12" s="108">
        <f t="shared" si="2"/>
        <v>18.100000000000001</v>
      </c>
      <c r="AC12" s="109">
        <f t="shared" si="3"/>
        <v>15.5</v>
      </c>
      <c r="AD12" s="107">
        <f t="shared" si="4"/>
        <v>14.3</v>
      </c>
      <c r="AE12" s="150">
        <f t="shared" si="5"/>
        <v>14.3</v>
      </c>
      <c r="AF12" s="108">
        <f t="shared" si="6"/>
        <v>10.4</v>
      </c>
      <c r="AG12" s="109">
        <f t="shared" si="7"/>
        <v>8.4</v>
      </c>
      <c r="AH12" s="107">
        <f t="shared" si="8"/>
        <v>10.8</v>
      </c>
      <c r="AI12" s="150">
        <f t="shared" si="9"/>
        <v>10.8</v>
      </c>
      <c r="AJ12" s="108">
        <f t="shared" si="10"/>
        <v>7.5</v>
      </c>
      <c r="AK12" s="109">
        <f t="shared" si="11"/>
        <v>5.8</v>
      </c>
    </row>
    <row r="13" spans="1:54" x14ac:dyDescent="0.2">
      <c r="A13" s="65" t="str">
        <f>IF(AND('様式１－２'!$C$18="☑",'様式１－２'!$C$21="☑",'様式１－２'!$C$22="□",'様式１－２'!$C$23="☑",'様式１－２'!$C$25="□",'様式１－２'!$C$28="□",'様式１－２'!$C$29="□",'様式１－２'!$C$30="□",'様式１－２'!$C$32="□",'様式１－２'!$C$35="□",'様式１－２'!$C$36="□",'様式１－２'!$C$37="□"),"★","")</f>
        <v/>
      </c>
      <c r="B13" s="68" t="s">
        <v>60</v>
      </c>
      <c r="C13" s="69" t="s">
        <v>61</v>
      </c>
      <c r="D13" s="69"/>
      <c r="E13" s="73" t="s">
        <v>61</v>
      </c>
      <c r="F13" s="68"/>
      <c r="G13" s="69"/>
      <c r="H13" s="69"/>
      <c r="I13" s="69"/>
      <c r="J13" s="68"/>
      <c r="K13" s="69"/>
      <c r="L13" s="69"/>
      <c r="M13" s="70"/>
      <c r="N13" s="147">
        <v>2752</v>
      </c>
      <c r="O13" s="114">
        <v>2752</v>
      </c>
      <c r="P13" s="114">
        <v>2186</v>
      </c>
      <c r="Q13" s="114">
        <v>1880</v>
      </c>
      <c r="R13" s="114">
        <v>1734.7425995393223</v>
      </c>
      <c r="S13" s="114">
        <v>1734.7425995393223</v>
      </c>
      <c r="T13" s="114">
        <v>1269.1289108259298</v>
      </c>
      <c r="U13" s="50">
        <v>1017.4013688713393</v>
      </c>
      <c r="V13" s="50">
        <v>1313.1182501493913</v>
      </c>
      <c r="W13" s="114">
        <v>1313.1182501493913</v>
      </c>
      <c r="X13" s="114">
        <v>918.32440348930595</v>
      </c>
      <c r="Y13" s="50">
        <v>704.88462066600857</v>
      </c>
      <c r="Z13" s="207">
        <f t="shared" si="0"/>
        <v>22.9</v>
      </c>
      <c r="AA13" s="150">
        <f t="shared" si="1"/>
        <v>22.9</v>
      </c>
      <c r="AB13" s="108">
        <f t="shared" si="2"/>
        <v>18.2</v>
      </c>
      <c r="AC13" s="109">
        <f t="shared" si="3"/>
        <v>15.7</v>
      </c>
      <c r="AD13" s="107">
        <f t="shared" si="4"/>
        <v>14.5</v>
      </c>
      <c r="AE13" s="150">
        <f t="shared" si="5"/>
        <v>14.5</v>
      </c>
      <c r="AF13" s="108">
        <f t="shared" si="6"/>
        <v>10.6</v>
      </c>
      <c r="AG13" s="109">
        <f t="shared" si="7"/>
        <v>8.5</v>
      </c>
      <c r="AH13" s="107">
        <f t="shared" si="8"/>
        <v>10.9</v>
      </c>
      <c r="AI13" s="150">
        <f t="shared" si="9"/>
        <v>10.9</v>
      </c>
      <c r="AJ13" s="108">
        <f t="shared" si="10"/>
        <v>7.7</v>
      </c>
      <c r="AK13" s="109">
        <f t="shared" si="11"/>
        <v>5.9</v>
      </c>
    </row>
    <row r="14" spans="1:54" x14ac:dyDescent="0.2">
      <c r="A14" s="65" t="str">
        <f>IF(AND('様式１－２'!$C$18="☑",'様式１－２'!$C$21="□",'様式１－２'!$C$22="☑",'様式１－２'!$C$23="☑",'様式１－２'!$C$25="□",'様式１－２'!$C$28="□",'様式１－２'!$C$29="□",'様式１－２'!$C$30="□",'様式１－２'!$C$32="□",'様式１－２'!$C$35="□",'様式１－２'!$C$36="□",'様式１－２'!$C$37="□"),"★","")</f>
        <v/>
      </c>
      <c r="B14" s="68" t="s">
        <v>60</v>
      </c>
      <c r="C14" s="69"/>
      <c r="D14" s="69" t="s">
        <v>61</v>
      </c>
      <c r="E14" s="73" t="s">
        <v>61</v>
      </c>
      <c r="F14" s="68"/>
      <c r="G14" s="69"/>
      <c r="H14" s="69"/>
      <c r="I14" s="69"/>
      <c r="J14" s="68"/>
      <c r="K14" s="69"/>
      <c r="L14" s="69"/>
      <c r="M14" s="70"/>
      <c r="N14" s="147">
        <v>2101</v>
      </c>
      <c r="O14" s="116">
        <v>2101</v>
      </c>
      <c r="P14" s="116">
        <v>1669</v>
      </c>
      <c r="Q14" s="116">
        <v>1436</v>
      </c>
      <c r="R14" s="116">
        <v>1199.2045936163213</v>
      </c>
      <c r="S14" s="116">
        <v>1199.2045936163213</v>
      </c>
      <c r="T14" s="116">
        <v>843.82453438631126</v>
      </c>
      <c r="U14" s="50">
        <v>652.14964132938474</v>
      </c>
      <c r="V14" s="50">
        <v>859.03557492727884</v>
      </c>
      <c r="W14" s="116">
        <v>859.03557492727884</v>
      </c>
      <c r="X14" s="116">
        <v>557.70882270615334</v>
      </c>
      <c r="Y14" s="50">
        <v>395.18768088318529</v>
      </c>
      <c r="Z14" s="207">
        <f t="shared" si="0"/>
        <v>17.5</v>
      </c>
      <c r="AA14" s="150">
        <f t="shared" si="1"/>
        <v>17.5</v>
      </c>
      <c r="AB14" s="108">
        <f t="shared" si="2"/>
        <v>13.9</v>
      </c>
      <c r="AC14" s="109">
        <f t="shared" si="3"/>
        <v>12</v>
      </c>
      <c r="AD14" s="107">
        <f t="shared" si="4"/>
        <v>10</v>
      </c>
      <c r="AE14" s="150">
        <f t="shared" si="5"/>
        <v>10</v>
      </c>
      <c r="AF14" s="108">
        <f t="shared" si="6"/>
        <v>7</v>
      </c>
      <c r="AG14" s="109">
        <f t="shared" si="7"/>
        <v>5.4</v>
      </c>
      <c r="AH14" s="107">
        <f t="shared" si="8"/>
        <v>7.2</v>
      </c>
      <c r="AI14" s="150">
        <f t="shared" si="9"/>
        <v>7.2</v>
      </c>
      <c r="AJ14" s="108">
        <f t="shared" si="10"/>
        <v>4.5999999999999996</v>
      </c>
      <c r="AK14" s="109">
        <f t="shared" si="11"/>
        <v>3.3</v>
      </c>
    </row>
    <row r="15" spans="1:54" ht="14.5" thickBot="1" x14ac:dyDescent="0.25">
      <c r="A15" s="65" t="str">
        <f>IF(AND('様式１－２'!$C$18="☑",'様式１－２'!$C$21="☑",'様式１－２'!$C$22="☑",'様式１－２'!$C$23="☑",'様式１－２'!$C$25="□",'様式１－２'!$C$28="□",'様式１－２'!$C$29="□",'様式１－２'!$C$30="□",'様式１－２'!$C$32="□",'様式１－２'!$C$35="□",'様式１－２'!$C$36="□",'様式１－２'!$C$37="□"),"★","")</f>
        <v/>
      </c>
      <c r="B15" s="80" t="s">
        <v>61</v>
      </c>
      <c r="C15" s="81" t="s">
        <v>61</v>
      </c>
      <c r="D15" s="81" t="s">
        <v>61</v>
      </c>
      <c r="E15" s="82" t="s">
        <v>61</v>
      </c>
      <c r="F15" s="80"/>
      <c r="G15" s="81"/>
      <c r="H15" s="81"/>
      <c r="I15" s="81"/>
      <c r="J15" s="80"/>
      <c r="K15" s="81"/>
      <c r="L15" s="81"/>
      <c r="M15" s="83"/>
      <c r="N15" s="208">
        <v>3016</v>
      </c>
      <c r="O15" s="117">
        <v>3016</v>
      </c>
      <c r="P15" s="117">
        <v>2396</v>
      </c>
      <c r="Q15" s="117">
        <v>2060</v>
      </c>
      <c r="R15" s="117">
        <v>1951.919302402106</v>
      </c>
      <c r="S15" s="117">
        <v>1951.919302402106</v>
      </c>
      <c r="T15" s="117">
        <v>1441.8831062849622</v>
      </c>
      <c r="U15" s="51">
        <v>1165.4763935505102</v>
      </c>
      <c r="V15" s="51">
        <v>1497.2623765067458</v>
      </c>
      <c r="W15" s="117">
        <v>1497.2623765067458</v>
      </c>
      <c r="X15" s="117">
        <v>1064.8026858190194</v>
      </c>
      <c r="Y15" s="51">
        <v>830.4374340914776</v>
      </c>
      <c r="Z15" s="209">
        <f t="shared" si="0"/>
        <v>25.1</v>
      </c>
      <c r="AA15" s="157">
        <f t="shared" si="1"/>
        <v>25.1</v>
      </c>
      <c r="AB15" s="118">
        <f t="shared" si="2"/>
        <v>20</v>
      </c>
      <c r="AC15" s="119">
        <f t="shared" si="3"/>
        <v>17.2</v>
      </c>
      <c r="AD15" s="210">
        <f t="shared" si="4"/>
        <v>16.3</v>
      </c>
      <c r="AE15" s="157">
        <f t="shared" si="5"/>
        <v>16.3</v>
      </c>
      <c r="AF15" s="118">
        <f t="shared" si="6"/>
        <v>12</v>
      </c>
      <c r="AG15" s="119">
        <f t="shared" si="7"/>
        <v>9.6999999999999993</v>
      </c>
      <c r="AH15" s="210">
        <f t="shared" si="8"/>
        <v>12.5</v>
      </c>
      <c r="AI15" s="157">
        <f t="shared" si="9"/>
        <v>12.5</v>
      </c>
      <c r="AJ15" s="118">
        <f t="shared" si="10"/>
        <v>8.9</v>
      </c>
      <c r="AK15" s="119">
        <f t="shared" si="11"/>
        <v>6.9</v>
      </c>
    </row>
    <row r="16" spans="1:54" ht="14.5" thickTop="1" x14ac:dyDescent="0.2">
      <c r="A16" s="65" t="str">
        <f>IF(AND('様式１－２'!$C$18="☑",'様式１－２'!$C$21="☑",'様式１－２'!$C$22="□",'様式１－２'!$C$23="□",'様式１－２'!$C$25="☑",'様式１－２'!$C$28="☑",'様式１－２'!$C$29="□",'様式１－２'!$C$30="□",'様式１－２'!$C$32="□",'様式１－２'!$C$35="□",'様式１－２'!$C$36="□",'様式１－２'!$C$37="□"),"★","")</f>
        <v/>
      </c>
      <c r="B16" s="68" t="s">
        <v>61</v>
      </c>
      <c r="C16" s="69" t="s">
        <v>61</v>
      </c>
      <c r="D16" s="69"/>
      <c r="E16" s="73"/>
      <c r="F16" s="68" t="s">
        <v>61</v>
      </c>
      <c r="G16" s="69" t="s">
        <v>61</v>
      </c>
      <c r="H16" s="69"/>
      <c r="I16" s="73"/>
      <c r="J16" s="68"/>
      <c r="K16" s="69"/>
      <c r="L16" s="69"/>
      <c r="M16" s="70"/>
      <c r="N16" s="211">
        <v>5779</v>
      </c>
      <c r="O16" s="52">
        <v>5779</v>
      </c>
      <c r="P16" s="52">
        <v>4475</v>
      </c>
      <c r="Q16" s="52">
        <v>4359</v>
      </c>
      <c r="R16" s="52">
        <v>4224.8709312273777</v>
      </c>
      <c r="S16" s="52">
        <v>4224.8709312273777</v>
      </c>
      <c r="T16" s="52">
        <v>3152.1496413293848</v>
      </c>
      <c r="U16" s="52">
        <v>3056.7235143139192</v>
      </c>
      <c r="V16" s="52">
        <v>3424.4980625876933</v>
      </c>
      <c r="W16" s="52">
        <v>3424.4980625876933</v>
      </c>
      <c r="X16" s="52">
        <v>2514.9376808831853</v>
      </c>
      <c r="Y16" s="52">
        <v>2434.0258677867719</v>
      </c>
      <c r="Z16" s="212">
        <f t="shared" si="0"/>
        <v>48.2</v>
      </c>
      <c r="AA16" s="158">
        <f t="shared" si="1"/>
        <v>48.2</v>
      </c>
      <c r="AB16" s="120">
        <f t="shared" si="2"/>
        <v>37.299999999999997</v>
      </c>
      <c r="AC16" s="121">
        <f t="shared" si="3"/>
        <v>36.299999999999997</v>
      </c>
      <c r="AD16" s="213">
        <f t="shared" si="4"/>
        <v>35.200000000000003</v>
      </c>
      <c r="AE16" s="158">
        <f t="shared" si="5"/>
        <v>35.200000000000003</v>
      </c>
      <c r="AF16" s="120">
        <f t="shared" si="6"/>
        <v>26.3</v>
      </c>
      <c r="AG16" s="121">
        <f t="shared" si="7"/>
        <v>25.5</v>
      </c>
      <c r="AH16" s="213">
        <f t="shared" si="8"/>
        <v>28.5</v>
      </c>
      <c r="AI16" s="158">
        <f t="shared" si="9"/>
        <v>28.5</v>
      </c>
      <c r="AJ16" s="120">
        <f t="shared" si="10"/>
        <v>21</v>
      </c>
      <c r="AK16" s="121">
        <f t="shared" si="11"/>
        <v>20.3</v>
      </c>
    </row>
    <row r="17" spans="1:37" x14ac:dyDescent="0.2">
      <c r="A17" s="65" t="str">
        <f>IF(AND('様式１－２'!$C$18="☑",'様式１－２'!$C$21="□",'様式１－２'!$C$22="☑",'様式１－２'!$C$23="□",'様式１－２'!$C$25="☑",'様式１－２'!$C$28="□",'様式１－２'!$C$29="☑",'様式１－２'!$C$30="□",'様式１－２'!$C$32="□",'様式１－２'!$C$35="□",'様式１－２'!$C$36="□",'様式１－２'!$C$37="□"),"★","")</f>
        <v/>
      </c>
      <c r="B17" s="68" t="s">
        <v>61</v>
      </c>
      <c r="C17" s="69"/>
      <c r="D17" s="69" t="s">
        <v>61</v>
      </c>
      <c r="E17" s="73"/>
      <c r="F17" s="68" t="s">
        <v>61</v>
      </c>
      <c r="G17" s="69"/>
      <c r="H17" s="69" t="s">
        <v>61</v>
      </c>
      <c r="I17" s="73"/>
      <c r="J17" s="68"/>
      <c r="K17" s="69"/>
      <c r="L17" s="69"/>
      <c r="M17" s="70"/>
      <c r="N17" s="147">
        <v>4249</v>
      </c>
      <c r="O17" s="50">
        <v>4249</v>
      </c>
      <c r="P17" s="50">
        <v>3291</v>
      </c>
      <c r="Q17" s="50">
        <v>3205</v>
      </c>
      <c r="R17" s="50">
        <v>2966.2332214544258</v>
      </c>
      <c r="S17" s="50">
        <v>2966.2332214544258</v>
      </c>
      <c r="T17" s="50">
        <v>2178.1450345508392</v>
      </c>
      <c r="U17" s="50">
        <v>2107.3980783152356</v>
      </c>
      <c r="V17" s="50">
        <v>2357.2991484712074</v>
      </c>
      <c r="W17" s="50">
        <v>2357.2991484712074</v>
      </c>
      <c r="X17" s="50">
        <v>1689.0791747956566</v>
      </c>
      <c r="Y17" s="50">
        <v>1629.0928306034882</v>
      </c>
      <c r="Z17" s="207">
        <f t="shared" si="0"/>
        <v>35.4</v>
      </c>
      <c r="AA17" s="150">
        <f t="shared" si="1"/>
        <v>35.4</v>
      </c>
      <c r="AB17" s="108">
        <f t="shared" si="2"/>
        <v>27.4</v>
      </c>
      <c r="AC17" s="109">
        <f t="shared" si="3"/>
        <v>26.7</v>
      </c>
      <c r="AD17" s="107">
        <f t="shared" si="4"/>
        <v>24.7</v>
      </c>
      <c r="AE17" s="150">
        <f t="shared" si="5"/>
        <v>24.7</v>
      </c>
      <c r="AF17" s="108">
        <f t="shared" si="6"/>
        <v>18.2</v>
      </c>
      <c r="AG17" s="109">
        <f t="shared" si="7"/>
        <v>17.600000000000001</v>
      </c>
      <c r="AH17" s="107">
        <f t="shared" si="8"/>
        <v>19.600000000000001</v>
      </c>
      <c r="AI17" s="150">
        <f t="shared" si="9"/>
        <v>19.600000000000001</v>
      </c>
      <c r="AJ17" s="108">
        <f t="shared" si="10"/>
        <v>14.1</v>
      </c>
      <c r="AK17" s="109">
        <f t="shared" si="11"/>
        <v>13.6</v>
      </c>
    </row>
    <row r="18" spans="1:37" x14ac:dyDescent="0.2">
      <c r="A18" s="65" t="str">
        <f>IF(AND('様式１－２'!$C$18="☑",'様式１－２'!$C$21="□",'様式１－２'!$C$22="□",'様式１－２'!$C$23="☑",'様式１－２'!$C$25="☑",'様式１－２'!$C$28="□",'様式１－２'!$C$29="□",'様式１－２'!$C$30="☑",'様式１－２'!$C$32="□",'様式１－２'!$C$35="□",'様式１－２'!$C$36="□",'様式１－２'!$C$37="□"),"★","")</f>
        <v/>
      </c>
      <c r="B18" s="68" t="s">
        <v>60</v>
      </c>
      <c r="C18" s="69"/>
      <c r="D18" s="69"/>
      <c r="E18" s="73" t="s">
        <v>61</v>
      </c>
      <c r="F18" s="68" t="s">
        <v>60</v>
      </c>
      <c r="G18" s="69"/>
      <c r="H18" s="69"/>
      <c r="I18" s="73" t="s">
        <v>61</v>
      </c>
      <c r="J18" s="68"/>
      <c r="K18" s="69"/>
      <c r="L18" s="69"/>
      <c r="M18" s="70"/>
      <c r="N18" s="147">
        <v>4282</v>
      </c>
      <c r="O18" s="50">
        <v>4282</v>
      </c>
      <c r="P18" s="50">
        <v>3316</v>
      </c>
      <c r="Q18" s="50">
        <v>3230</v>
      </c>
      <c r="R18" s="50">
        <v>2993.3803093122738</v>
      </c>
      <c r="S18" s="50">
        <v>2993.3803093122738</v>
      </c>
      <c r="T18" s="50">
        <v>2198.7110102007241</v>
      </c>
      <c r="U18" s="50">
        <v>2127.96405396512</v>
      </c>
      <c r="V18" s="50">
        <v>2380.3171642658767</v>
      </c>
      <c r="W18" s="50">
        <v>2380.3171642658767</v>
      </c>
      <c r="X18" s="50">
        <v>1706.5170655491941</v>
      </c>
      <c r="Y18" s="50">
        <v>1646.5307213570252</v>
      </c>
      <c r="Z18" s="207">
        <f t="shared" si="0"/>
        <v>35.700000000000003</v>
      </c>
      <c r="AA18" s="150">
        <f t="shared" si="1"/>
        <v>35.700000000000003</v>
      </c>
      <c r="AB18" s="108">
        <f t="shared" si="2"/>
        <v>27.6</v>
      </c>
      <c r="AC18" s="109">
        <f t="shared" si="3"/>
        <v>26.9</v>
      </c>
      <c r="AD18" s="107">
        <f t="shared" si="4"/>
        <v>24.9</v>
      </c>
      <c r="AE18" s="150">
        <f t="shared" si="5"/>
        <v>24.9</v>
      </c>
      <c r="AF18" s="108">
        <f t="shared" si="6"/>
        <v>18.3</v>
      </c>
      <c r="AG18" s="109">
        <f t="shared" si="7"/>
        <v>17.7</v>
      </c>
      <c r="AH18" s="107">
        <f t="shared" si="8"/>
        <v>19.8</v>
      </c>
      <c r="AI18" s="150">
        <f t="shared" si="9"/>
        <v>19.8</v>
      </c>
      <c r="AJ18" s="108">
        <f t="shared" si="10"/>
        <v>14.2</v>
      </c>
      <c r="AK18" s="109">
        <f t="shared" si="11"/>
        <v>13.7</v>
      </c>
    </row>
    <row r="19" spans="1:37" x14ac:dyDescent="0.2">
      <c r="A19" s="65" t="str">
        <f>IF(AND('様式１－２'!$C$18="☑",'様式１－２'!$C$21="☑",'様式１－２'!$C$22="☑",'様式１－２'!$C$23="□",'様式１－２'!$C$25="☑",'様式１－２'!$C$28="☑",'様式１－２'!$C$29="☑",'様式１－２'!$C$30="□",'様式１－２'!$C$32="□",'様式１－２'!$C$35="□",'様式１－２'!$C$36="□",'様式１－２'!$C$37="□"),"★","")</f>
        <v/>
      </c>
      <c r="B19" s="68" t="s">
        <v>60</v>
      </c>
      <c r="C19" s="69" t="s">
        <v>61</v>
      </c>
      <c r="D19" s="69" t="s">
        <v>61</v>
      </c>
      <c r="E19" s="73"/>
      <c r="F19" s="68" t="s">
        <v>60</v>
      </c>
      <c r="G19" s="69" t="s">
        <v>61</v>
      </c>
      <c r="H19" s="69" t="s">
        <v>61</v>
      </c>
      <c r="I19" s="73"/>
      <c r="J19" s="68"/>
      <c r="K19" s="69"/>
      <c r="L19" s="69"/>
      <c r="M19" s="70"/>
      <c r="N19" s="147">
        <v>6401</v>
      </c>
      <c r="O19" s="50">
        <v>6401</v>
      </c>
      <c r="P19" s="50">
        <v>4957</v>
      </c>
      <c r="Q19" s="50">
        <v>4828</v>
      </c>
      <c r="R19" s="50">
        <v>4736.5524053965119</v>
      </c>
      <c r="S19" s="50">
        <v>4736.5524053965119</v>
      </c>
      <c r="T19" s="50">
        <v>3548.6616518591645</v>
      </c>
      <c r="U19" s="50">
        <v>3442.5412175057586</v>
      </c>
      <c r="V19" s="50">
        <v>3858.3527845357025</v>
      </c>
      <c r="W19" s="50">
        <v>3858.3527845357025</v>
      </c>
      <c r="X19" s="50">
        <v>2851.1402146113855</v>
      </c>
      <c r="Y19" s="50">
        <v>2761.1606983231327</v>
      </c>
      <c r="Z19" s="207">
        <f t="shared" si="0"/>
        <v>53.3</v>
      </c>
      <c r="AA19" s="150">
        <f t="shared" si="1"/>
        <v>53.3</v>
      </c>
      <c r="AB19" s="108">
        <f t="shared" si="2"/>
        <v>41.3</v>
      </c>
      <c r="AC19" s="109">
        <f t="shared" si="3"/>
        <v>40.200000000000003</v>
      </c>
      <c r="AD19" s="107">
        <f t="shared" si="4"/>
        <v>39.5</v>
      </c>
      <c r="AE19" s="150">
        <f t="shared" si="5"/>
        <v>39.5</v>
      </c>
      <c r="AF19" s="108">
        <f t="shared" si="6"/>
        <v>29.6</v>
      </c>
      <c r="AG19" s="109">
        <f t="shared" si="7"/>
        <v>28.7</v>
      </c>
      <c r="AH19" s="107">
        <f t="shared" si="8"/>
        <v>32.200000000000003</v>
      </c>
      <c r="AI19" s="150">
        <f t="shared" si="9"/>
        <v>32.200000000000003</v>
      </c>
      <c r="AJ19" s="108">
        <f t="shared" si="10"/>
        <v>23.8</v>
      </c>
      <c r="AK19" s="109">
        <f t="shared" si="11"/>
        <v>23</v>
      </c>
    </row>
    <row r="20" spans="1:37" x14ac:dyDescent="0.2">
      <c r="A20" s="65" t="str">
        <f>IF(AND('様式１－２'!$C$18="☑",'様式１－２'!$C$21="☑",'様式１－２'!$C$22="□",'様式１－２'!$C$23="☑",'様式１－２'!$C$25="☑",'様式１－２'!$C$28="☑",'様式１－２'!$C$29="□",'様式１－２'!$C$30="☑",'様式１－２'!$C$32="□",'様式１－２'!$C$35="□",'様式１－２'!$C$36="□",'様式１－２'!$C$37="□"),"★","")</f>
        <v/>
      </c>
      <c r="B20" s="68" t="s">
        <v>60</v>
      </c>
      <c r="C20" s="69" t="s">
        <v>61</v>
      </c>
      <c r="D20" s="69"/>
      <c r="E20" s="73" t="s">
        <v>61</v>
      </c>
      <c r="F20" s="68" t="s">
        <v>60</v>
      </c>
      <c r="G20" s="69" t="s">
        <v>61</v>
      </c>
      <c r="H20" s="69"/>
      <c r="I20" s="73" t="s">
        <v>61</v>
      </c>
      <c r="J20" s="68"/>
      <c r="K20" s="69"/>
      <c r="L20" s="69"/>
      <c r="M20" s="70"/>
      <c r="N20" s="147">
        <v>6460</v>
      </c>
      <c r="O20" s="50">
        <v>6460</v>
      </c>
      <c r="P20" s="50">
        <v>5002</v>
      </c>
      <c r="Q20" s="50">
        <v>4873</v>
      </c>
      <c r="R20" s="50">
        <v>4785.0881079302399</v>
      </c>
      <c r="S20" s="50">
        <v>4785.0881079302399</v>
      </c>
      <c r="T20" s="50">
        <v>3585.6804080289567</v>
      </c>
      <c r="U20" s="50">
        <v>3479.5599736755512</v>
      </c>
      <c r="V20" s="50">
        <v>3899.5062067140502</v>
      </c>
      <c r="W20" s="50">
        <v>3899.5062067140502</v>
      </c>
      <c r="X20" s="50">
        <v>2882.5284179677524</v>
      </c>
      <c r="Y20" s="50">
        <v>2792.5489016795</v>
      </c>
      <c r="Z20" s="207">
        <f t="shared" si="0"/>
        <v>53.8</v>
      </c>
      <c r="AA20" s="150">
        <f t="shared" si="1"/>
        <v>53.8</v>
      </c>
      <c r="AB20" s="108">
        <f t="shared" si="2"/>
        <v>41.7</v>
      </c>
      <c r="AC20" s="109">
        <f t="shared" si="3"/>
        <v>40.6</v>
      </c>
      <c r="AD20" s="107">
        <f t="shared" si="4"/>
        <v>39.9</v>
      </c>
      <c r="AE20" s="150">
        <f t="shared" si="5"/>
        <v>39.9</v>
      </c>
      <c r="AF20" s="108">
        <f t="shared" si="6"/>
        <v>29.9</v>
      </c>
      <c r="AG20" s="109">
        <f t="shared" si="7"/>
        <v>29</v>
      </c>
      <c r="AH20" s="107">
        <f t="shared" si="8"/>
        <v>32.5</v>
      </c>
      <c r="AI20" s="150">
        <f t="shared" si="9"/>
        <v>32.5</v>
      </c>
      <c r="AJ20" s="108">
        <f t="shared" si="10"/>
        <v>24</v>
      </c>
      <c r="AK20" s="109">
        <f t="shared" si="11"/>
        <v>23.3</v>
      </c>
    </row>
    <row r="21" spans="1:37" x14ac:dyDescent="0.2">
      <c r="A21" s="65" t="str">
        <f>IF(AND('様式１－２'!$C$18="☑",'様式１－２'!$C$21="□",'様式１－２'!$C$22="☑",'様式１－２'!$C$23="☑",'様式１－２'!$C$25="☑",'様式１－２'!$C$28="□",'様式１－２'!$C$29="☑",'様式１－２'!$C$30="☑",'様式１－２'!$C$32="□",'様式１－２'!$C$35="□",'様式１－２'!$C$36="□",'様式１－２'!$C$37="□"),"★","")</f>
        <v/>
      </c>
      <c r="B21" s="68" t="s">
        <v>60</v>
      </c>
      <c r="C21" s="69"/>
      <c r="D21" s="69" t="s">
        <v>61</v>
      </c>
      <c r="E21" s="73" t="s">
        <v>61</v>
      </c>
      <c r="F21" s="68" t="s">
        <v>60</v>
      </c>
      <c r="G21" s="69"/>
      <c r="H21" s="69" t="s">
        <v>61</v>
      </c>
      <c r="I21" s="73" t="s">
        <v>61</v>
      </c>
      <c r="J21" s="68"/>
      <c r="K21" s="69"/>
      <c r="L21" s="69"/>
      <c r="M21" s="70"/>
      <c r="N21" s="147">
        <v>4884</v>
      </c>
      <c r="O21" s="50">
        <v>4884</v>
      </c>
      <c r="P21" s="50">
        <v>3782</v>
      </c>
      <c r="Q21" s="50">
        <v>3684</v>
      </c>
      <c r="R21" s="50">
        <v>3488.6090029615007</v>
      </c>
      <c r="S21" s="50">
        <v>3488.6090029615007</v>
      </c>
      <c r="T21" s="50">
        <v>2582.0607963145771</v>
      </c>
      <c r="U21" s="50">
        <v>2501.4421717670289</v>
      </c>
      <c r="V21" s="50">
        <v>2800.2215736110566</v>
      </c>
      <c r="W21" s="50">
        <v>2800.2215736110566</v>
      </c>
      <c r="X21" s="50">
        <v>2031.5593491951299</v>
      </c>
      <c r="Y21" s="50">
        <v>1963.202817441264</v>
      </c>
      <c r="Z21" s="207">
        <f t="shared" si="0"/>
        <v>40.700000000000003</v>
      </c>
      <c r="AA21" s="150">
        <f t="shared" si="1"/>
        <v>40.700000000000003</v>
      </c>
      <c r="AB21" s="108">
        <f t="shared" si="2"/>
        <v>31.5</v>
      </c>
      <c r="AC21" s="109">
        <f t="shared" si="3"/>
        <v>30.7</v>
      </c>
      <c r="AD21" s="107">
        <f t="shared" si="4"/>
        <v>29.1</v>
      </c>
      <c r="AE21" s="150">
        <f t="shared" si="5"/>
        <v>29.1</v>
      </c>
      <c r="AF21" s="108">
        <f t="shared" si="6"/>
        <v>21.5</v>
      </c>
      <c r="AG21" s="109">
        <f t="shared" si="7"/>
        <v>20.8</v>
      </c>
      <c r="AH21" s="107">
        <f t="shared" si="8"/>
        <v>23.3</v>
      </c>
      <c r="AI21" s="150">
        <f t="shared" si="9"/>
        <v>23.3</v>
      </c>
      <c r="AJ21" s="108">
        <f t="shared" si="10"/>
        <v>16.899999999999999</v>
      </c>
      <c r="AK21" s="109">
        <f t="shared" si="11"/>
        <v>16.399999999999999</v>
      </c>
    </row>
    <row r="22" spans="1:37" ht="14.5" thickBot="1" x14ac:dyDescent="0.25">
      <c r="A22" s="65" t="str">
        <f>IF(AND('様式１－２'!$C$18="☑",'様式１－２'!$C$21="☑",'様式１－２'!$C$22="☑",'様式１－２'!$C$23="☑",'様式１－２'!$C$25="☑",'様式１－２'!$C$28="☑",'様式１－２'!$C$29="☑",'様式１－２'!$C$30="☑",'様式１－２'!$C$32="□",'様式１－２'!$C$35="□",'様式１－２'!$C$36="□",'様式１－２'!$C$37="□"),"★","")</f>
        <v/>
      </c>
      <c r="B22" s="80" t="s">
        <v>61</v>
      </c>
      <c r="C22" s="81" t="s">
        <v>61</v>
      </c>
      <c r="D22" s="81" t="s">
        <v>61</v>
      </c>
      <c r="E22" s="82" t="s">
        <v>61</v>
      </c>
      <c r="F22" s="80" t="s">
        <v>61</v>
      </c>
      <c r="G22" s="81" t="s">
        <v>61</v>
      </c>
      <c r="H22" s="81" t="s">
        <v>61</v>
      </c>
      <c r="I22" s="82" t="s">
        <v>61</v>
      </c>
      <c r="J22" s="80"/>
      <c r="K22" s="81"/>
      <c r="L22" s="81"/>
      <c r="M22" s="83"/>
      <c r="N22" s="214">
        <v>7099</v>
      </c>
      <c r="O22" s="53">
        <v>7099</v>
      </c>
      <c r="P22" s="53">
        <v>5497</v>
      </c>
      <c r="Q22" s="53">
        <v>5354</v>
      </c>
      <c r="R22" s="53">
        <v>5310.7544455412963</v>
      </c>
      <c r="S22" s="53">
        <v>5310.7544455412963</v>
      </c>
      <c r="T22" s="53">
        <v>3992.8867258966766</v>
      </c>
      <c r="U22" s="53">
        <v>3875.2493451793353</v>
      </c>
      <c r="V22" s="53">
        <v>4345.2186943744646</v>
      </c>
      <c r="W22" s="53">
        <v>4345.2186943744646</v>
      </c>
      <c r="X22" s="53">
        <v>3227.7986548877921</v>
      </c>
      <c r="Y22" s="53">
        <v>3128.0539197775583</v>
      </c>
      <c r="Z22" s="209">
        <f t="shared" si="0"/>
        <v>59.2</v>
      </c>
      <c r="AA22" s="159">
        <f t="shared" si="1"/>
        <v>59.2</v>
      </c>
      <c r="AB22" s="122">
        <f t="shared" si="2"/>
        <v>45.8</v>
      </c>
      <c r="AC22" s="123">
        <f t="shared" si="3"/>
        <v>44.6</v>
      </c>
      <c r="AD22" s="210">
        <f t="shared" si="4"/>
        <v>44.3</v>
      </c>
      <c r="AE22" s="159">
        <f t="shared" si="5"/>
        <v>44.3</v>
      </c>
      <c r="AF22" s="122">
        <f t="shared" si="6"/>
        <v>33.299999999999997</v>
      </c>
      <c r="AG22" s="123">
        <f t="shared" si="7"/>
        <v>32.299999999999997</v>
      </c>
      <c r="AH22" s="210">
        <f t="shared" si="8"/>
        <v>36.200000000000003</v>
      </c>
      <c r="AI22" s="159">
        <f t="shared" si="9"/>
        <v>36.200000000000003</v>
      </c>
      <c r="AJ22" s="122">
        <f t="shared" si="10"/>
        <v>26.9</v>
      </c>
      <c r="AK22" s="123">
        <f t="shared" si="11"/>
        <v>26.1</v>
      </c>
    </row>
    <row r="23" spans="1:37" ht="14.5" thickTop="1" x14ac:dyDescent="0.2">
      <c r="A23" s="65" t="str">
        <f>IF(AND('様式１－２'!$C$18="☑",'様式１－２'!$C$21="☑",'様式１－２'!$C$22="□",'様式１－２'!$C$23="□",'様式１－２'!$C$25="☑",'様式１－２'!$C$28="☑",'様式１－２'!$C$29="□",'様式１－２'!$C$30="□",'様式１－２'!$C$32="☑",'様式１－２'!$C$35="☑",'様式１－２'!$C$36="□",'様式１－２'!$C$37="□"),"★","")</f>
        <v/>
      </c>
      <c r="B23" s="68" t="s">
        <v>61</v>
      </c>
      <c r="C23" s="69" t="s">
        <v>61</v>
      </c>
      <c r="D23" s="69"/>
      <c r="E23" s="73"/>
      <c r="F23" s="68" t="s">
        <v>61</v>
      </c>
      <c r="G23" s="69" t="s">
        <v>61</v>
      </c>
      <c r="H23" s="69"/>
      <c r="I23" s="73"/>
      <c r="J23" s="68" t="s">
        <v>61</v>
      </c>
      <c r="K23" s="69" t="s">
        <v>61</v>
      </c>
      <c r="L23" s="69"/>
      <c r="M23" s="70"/>
      <c r="N23" s="211">
        <v>9618</v>
      </c>
      <c r="O23" s="54">
        <v>9618</v>
      </c>
      <c r="P23" s="54">
        <v>7390</v>
      </c>
      <c r="Q23" s="54">
        <v>7458</v>
      </c>
      <c r="R23" s="54">
        <v>7382.9821520236919</v>
      </c>
      <c r="S23" s="54">
        <v>7382.9821520236919</v>
      </c>
      <c r="T23" s="54">
        <v>5550.1424021059556</v>
      </c>
      <c r="U23" s="54">
        <v>5606.0818558736428</v>
      </c>
      <c r="V23" s="54">
        <v>6102.2605667008875</v>
      </c>
      <c r="W23" s="54">
        <v>6102.2605667008875</v>
      </c>
      <c r="X23" s="54">
        <v>4548.1957427456391</v>
      </c>
      <c r="Y23" s="54">
        <v>4595.6268055952614</v>
      </c>
      <c r="Z23" s="212">
        <f t="shared" si="0"/>
        <v>80.2</v>
      </c>
      <c r="AA23" s="160">
        <f t="shared" si="1"/>
        <v>80.2</v>
      </c>
      <c r="AB23" s="124">
        <f t="shared" si="2"/>
        <v>61.6</v>
      </c>
      <c r="AC23" s="125">
        <f t="shared" si="3"/>
        <v>62.2</v>
      </c>
      <c r="AD23" s="213">
        <f t="shared" si="4"/>
        <v>61.5</v>
      </c>
      <c r="AE23" s="160">
        <f t="shared" si="5"/>
        <v>61.5</v>
      </c>
      <c r="AF23" s="124">
        <f t="shared" si="6"/>
        <v>46.3</v>
      </c>
      <c r="AG23" s="125">
        <f t="shared" si="7"/>
        <v>46.7</v>
      </c>
      <c r="AH23" s="213">
        <f t="shared" si="8"/>
        <v>50.9</v>
      </c>
      <c r="AI23" s="160">
        <f t="shared" si="9"/>
        <v>50.9</v>
      </c>
      <c r="AJ23" s="124">
        <f t="shared" si="10"/>
        <v>37.9</v>
      </c>
      <c r="AK23" s="125">
        <f t="shared" si="11"/>
        <v>38.299999999999997</v>
      </c>
    </row>
    <row r="24" spans="1:37" x14ac:dyDescent="0.2">
      <c r="A24" s="65" t="str">
        <f>IF(AND('様式１－２'!$C$18="☑",'様式１－２'!$C$21="□",'様式１－２'!$C$22="☑",'様式１－２'!$C$23="□",'様式１－２'!$C$25="☑",'様式１－２'!$C$28="□",'様式１－２'!$C$29="☑",'様式１－２'!$C$30="□",'様式１－２'!$C$32="☑",'様式１－２'!$C$35="□",'様式１－２'!$C$36="☑",'様式１－２'!$C$37="□"),"★","")</f>
        <v/>
      </c>
      <c r="B24" s="68" t="s">
        <v>61</v>
      </c>
      <c r="C24" s="69"/>
      <c r="D24" s="69" t="s">
        <v>61</v>
      </c>
      <c r="E24" s="73"/>
      <c r="F24" s="68" t="s">
        <v>61</v>
      </c>
      <c r="G24" s="69"/>
      <c r="H24" s="69" t="s">
        <v>61</v>
      </c>
      <c r="I24" s="73"/>
      <c r="J24" s="68" t="s">
        <v>61</v>
      </c>
      <c r="K24" s="69"/>
      <c r="L24" s="69" t="s">
        <v>61</v>
      </c>
      <c r="M24" s="70"/>
      <c r="N24" s="147">
        <v>7078</v>
      </c>
      <c r="O24" s="50">
        <v>7078</v>
      </c>
      <c r="P24" s="50">
        <v>5439</v>
      </c>
      <c r="Q24" s="50">
        <v>5489</v>
      </c>
      <c r="R24" s="50">
        <v>5293.4790259953934</v>
      </c>
      <c r="S24" s="50">
        <v>5293.4790259953934</v>
      </c>
      <c r="T24" s="50">
        <v>3945.1736623889437</v>
      </c>
      <c r="U24" s="50">
        <v>3986.3056136887135</v>
      </c>
      <c r="V24" s="50">
        <v>4330.5708661414938</v>
      </c>
      <c r="W24" s="50">
        <v>4330.5708661414938</v>
      </c>
      <c r="X24" s="50">
        <v>3187.3427483395853</v>
      </c>
      <c r="Y24" s="50">
        <v>3222.2185298466602</v>
      </c>
      <c r="Z24" s="207">
        <f t="shared" si="0"/>
        <v>59</v>
      </c>
      <c r="AA24" s="150">
        <f t="shared" si="1"/>
        <v>59</v>
      </c>
      <c r="AB24" s="108">
        <f t="shared" si="2"/>
        <v>45.3</v>
      </c>
      <c r="AC24" s="109">
        <f t="shared" si="3"/>
        <v>45.7</v>
      </c>
      <c r="AD24" s="107">
        <f t="shared" si="4"/>
        <v>44.1</v>
      </c>
      <c r="AE24" s="150">
        <f t="shared" si="5"/>
        <v>44.1</v>
      </c>
      <c r="AF24" s="108">
        <f t="shared" si="6"/>
        <v>32.9</v>
      </c>
      <c r="AG24" s="109">
        <f t="shared" si="7"/>
        <v>33.200000000000003</v>
      </c>
      <c r="AH24" s="107">
        <f t="shared" si="8"/>
        <v>36.1</v>
      </c>
      <c r="AI24" s="150">
        <f t="shared" si="9"/>
        <v>36.1</v>
      </c>
      <c r="AJ24" s="108">
        <f t="shared" si="10"/>
        <v>26.6</v>
      </c>
      <c r="AK24" s="109">
        <f t="shared" si="11"/>
        <v>26.9</v>
      </c>
    </row>
    <row r="25" spans="1:37" x14ac:dyDescent="0.2">
      <c r="A25" s="65" t="str">
        <f>IF(AND('様式１－２'!$C$18="☑",'様式１－２'!$C$21="□",'様式１－２'!$C$22="□",'様式１－２'!$C$23="☑",'様式１－２'!$C$25="☑",'様式１－２'!$C$28="□",'様式１－２'!$C$29="□",'様式１－２'!$C$30="☑",'様式１－２'!$C$32="☑",'様式１－２'!$C$35="□",'様式１－２'!$C$36="□",'様式１－２'!$C$37="☑"),"★","")</f>
        <v/>
      </c>
      <c r="B25" s="68" t="s">
        <v>60</v>
      </c>
      <c r="C25" s="69"/>
      <c r="D25" s="69"/>
      <c r="E25" s="73" t="s">
        <v>61</v>
      </c>
      <c r="F25" s="68" t="s">
        <v>60</v>
      </c>
      <c r="G25" s="69"/>
      <c r="H25" s="69"/>
      <c r="I25" s="73" t="s">
        <v>61</v>
      </c>
      <c r="J25" s="68" t="s">
        <v>60</v>
      </c>
      <c r="K25" s="69"/>
      <c r="L25" s="69"/>
      <c r="M25" s="70" t="s">
        <v>61</v>
      </c>
      <c r="N25" s="147">
        <v>7133</v>
      </c>
      <c r="O25" s="50">
        <v>7133</v>
      </c>
      <c r="P25" s="50">
        <v>5481</v>
      </c>
      <c r="Q25" s="50">
        <v>5531</v>
      </c>
      <c r="R25" s="50">
        <v>5338.7241724251398</v>
      </c>
      <c r="S25" s="50">
        <v>5338.7241724251398</v>
      </c>
      <c r="T25" s="50">
        <v>3979.7245014807504</v>
      </c>
      <c r="U25" s="50">
        <v>4020.8564527805202</v>
      </c>
      <c r="V25" s="50">
        <v>4368.9342257992757</v>
      </c>
      <c r="W25" s="50">
        <v>4368.9342257992757</v>
      </c>
      <c r="X25" s="50">
        <v>3216.6384048055284</v>
      </c>
      <c r="Y25" s="50">
        <v>3251.5141863126032</v>
      </c>
      <c r="Z25" s="207">
        <f t="shared" si="0"/>
        <v>59.4</v>
      </c>
      <c r="AA25" s="150">
        <f t="shared" si="1"/>
        <v>59.4</v>
      </c>
      <c r="AB25" s="108">
        <f t="shared" si="2"/>
        <v>45.7</v>
      </c>
      <c r="AC25" s="109">
        <f t="shared" si="3"/>
        <v>46.1</v>
      </c>
      <c r="AD25" s="107">
        <f t="shared" si="4"/>
        <v>44.5</v>
      </c>
      <c r="AE25" s="150">
        <f t="shared" si="5"/>
        <v>44.5</v>
      </c>
      <c r="AF25" s="108">
        <f t="shared" si="6"/>
        <v>33.200000000000003</v>
      </c>
      <c r="AG25" s="109">
        <f t="shared" si="7"/>
        <v>33.5</v>
      </c>
      <c r="AH25" s="107">
        <f t="shared" si="8"/>
        <v>36.4</v>
      </c>
      <c r="AI25" s="150">
        <f t="shared" si="9"/>
        <v>36.4</v>
      </c>
      <c r="AJ25" s="108">
        <f t="shared" si="10"/>
        <v>26.8</v>
      </c>
      <c r="AK25" s="109">
        <f t="shared" si="11"/>
        <v>27.1</v>
      </c>
    </row>
    <row r="26" spans="1:37" x14ac:dyDescent="0.2">
      <c r="A26" s="65" t="str">
        <f>IF(AND('様式１－２'!$C$18="☑",'様式１－２'!$C$21="☑",'様式１－２'!$C$22="☑",'様式１－２'!$C$23="□",'様式１－２'!$C$25="☑",'様式１－２'!$C$28="☑",'様式１－２'!$C$29="☑",'様式１－２'!$C$30="□",'様式１－２'!$C$32="☑",'様式１－２'!$C$35="☑",'様式１－２'!$C$36="☑",'様式１－２'!$C$37="□"),"★","")</f>
        <v/>
      </c>
      <c r="B26" s="68" t="s">
        <v>60</v>
      </c>
      <c r="C26" s="69" t="s">
        <v>61</v>
      </c>
      <c r="D26" s="69" t="s">
        <v>61</v>
      </c>
      <c r="E26" s="73"/>
      <c r="F26" s="68" t="s">
        <v>60</v>
      </c>
      <c r="G26" s="69" t="s">
        <v>61</v>
      </c>
      <c r="H26" s="69" t="s">
        <v>61</v>
      </c>
      <c r="I26" s="73"/>
      <c r="J26" s="68" t="s">
        <v>60</v>
      </c>
      <c r="K26" s="69" t="s">
        <v>61</v>
      </c>
      <c r="L26" s="69" t="s">
        <v>61</v>
      </c>
      <c r="M26" s="70"/>
      <c r="N26" s="147">
        <v>10651</v>
      </c>
      <c r="O26" s="50">
        <v>10651</v>
      </c>
      <c r="P26" s="50">
        <v>8184</v>
      </c>
      <c r="Q26" s="50">
        <v>8259</v>
      </c>
      <c r="R26" s="50">
        <v>8232.7682658769336</v>
      </c>
      <c r="S26" s="50">
        <v>8232.7682658769336</v>
      </c>
      <c r="T26" s="50">
        <v>6203.317788746298</v>
      </c>
      <c r="U26" s="50">
        <v>6265.0157156959531</v>
      </c>
      <c r="V26" s="50">
        <v>6822.7942126370517</v>
      </c>
      <c r="W26" s="50">
        <v>6822.7942126370517</v>
      </c>
      <c r="X26" s="50">
        <v>5102.0231530779856</v>
      </c>
      <c r="Y26" s="50">
        <v>5154.3368253385979</v>
      </c>
      <c r="Z26" s="207">
        <f t="shared" si="0"/>
        <v>88.8</v>
      </c>
      <c r="AA26" s="150">
        <f t="shared" si="1"/>
        <v>88.8</v>
      </c>
      <c r="AB26" s="108">
        <f t="shared" si="2"/>
        <v>68.2</v>
      </c>
      <c r="AC26" s="109">
        <f t="shared" si="3"/>
        <v>68.8</v>
      </c>
      <c r="AD26" s="107">
        <f t="shared" si="4"/>
        <v>68.599999999999994</v>
      </c>
      <c r="AE26" s="150">
        <f t="shared" si="5"/>
        <v>68.599999999999994</v>
      </c>
      <c r="AF26" s="108">
        <f t="shared" si="6"/>
        <v>51.7</v>
      </c>
      <c r="AG26" s="109">
        <f t="shared" si="7"/>
        <v>52.2</v>
      </c>
      <c r="AH26" s="107">
        <f t="shared" si="8"/>
        <v>56.9</v>
      </c>
      <c r="AI26" s="150">
        <f t="shared" si="9"/>
        <v>56.9</v>
      </c>
      <c r="AJ26" s="108">
        <f t="shared" si="10"/>
        <v>42.5</v>
      </c>
      <c r="AK26" s="109">
        <f t="shared" si="11"/>
        <v>43</v>
      </c>
    </row>
    <row r="27" spans="1:37" x14ac:dyDescent="0.2">
      <c r="A27" s="65" t="str">
        <f>IF(AND('様式１－２'!$C$18="☑",'様式１－２'!$C$21="☑",'様式１－２'!$C$22="□",'様式１－２'!$C$23="☑",'様式１－２'!$C$25="☑",'様式１－２'!$C$28="☑",'様式１－２'!$C$29="□",'様式１－２'!$C$30="☑",'様式１－２'!$C$32="☑",'様式１－２'!$C$35="☑",'様式１－２'!$C$36="□",'様式１－２'!$C$37="☑"),"★","")</f>
        <v/>
      </c>
      <c r="B27" s="68" t="s">
        <v>60</v>
      </c>
      <c r="C27" s="69" t="s">
        <v>61</v>
      </c>
      <c r="D27" s="69"/>
      <c r="E27" s="73" t="s">
        <v>61</v>
      </c>
      <c r="F27" s="68" t="s">
        <v>60</v>
      </c>
      <c r="G27" s="69" t="s">
        <v>61</v>
      </c>
      <c r="H27" s="69"/>
      <c r="I27" s="73" t="s">
        <v>61</v>
      </c>
      <c r="J27" s="68" t="s">
        <v>60</v>
      </c>
      <c r="K27" s="69" t="s">
        <v>61</v>
      </c>
      <c r="L27" s="69"/>
      <c r="M27" s="70" t="s">
        <v>61</v>
      </c>
      <c r="N27" s="147">
        <v>10748</v>
      </c>
      <c r="O27" s="50">
        <v>10748</v>
      </c>
      <c r="P27" s="50">
        <v>8258</v>
      </c>
      <c r="Q27" s="50">
        <v>8334</v>
      </c>
      <c r="R27" s="50">
        <v>8312.5642513984858</v>
      </c>
      <c r="S27" s="50">
        <v>8312.5642513984858</v>
      </c>
      <c r="T27" s="50">
        <v>6264.193076669957</v>
      </c>
      <c r="U27" s="50">
        <v>6326.7136426456073</v>
      </c>
      <c r="V27" s="50">
        <v>6890.4532287607753</v>
      </c>
      <c r="W27" s="50">
        <v>6890.4532287607753</v>
      </c>
      <c r="X27" s="50">
        <v>5153.6393097084556</v>
      </c>
      <c r="Y27" s="50">
        <v>5206.6504975992102</v>
      </c>
      <c r="Z27" s="207">
        <f t="shared" si="0"/>
        <v>89.6</v>
      </c>
      <c r="AA27" s="150">
        <f t="shared" si="1"/>
        <v>89.6</v>
      </c>
      <c r="AB27" s="108">
        <f t="shared" si="2"/>
        <v>68.8</v>
      </c>
      <c r="AC27" s="109">
        <f t="shared" si="3"/>
        <v>69.5</v>
      </c>
      <c r="AD27" s="107">
        <f t="shared" si="4"/>
        <v>69.3</v>
      </c>
      <c r="AE27" s="150">
        <f t="shared" si="5"/>
        <v>69.3</v>
      </c>
      <c r="AF27" s="108">
        <f t="shared" si="6"/>
        <v>52.2</v>
      </c>
      <c r="AG27" s="109">
        <f t="shared" si="7"/>
        <v>52.7</v>
      </c>
      <c r="AH27" s="107">
        <f t="shared" si="8"/>
        <v>57.4</v>
      </c>
      <c r="AI27" s="150">
        <f t="shared" si="9"/>
        <v>57.4</v>
      </c>
      <c r="AJ27" s="108">
        <f t="shared" si="10"/>
        <v>42.9</v>
      </c>
      <c r="AK27" s="109">
        <f t="shared" si="11"/>
        <v>43.4</v>
      </c>
    </row>
    <row r="28" spans="1:37" x14ac:dyDescent="0.2">
      <c r="A28" s="65" t="str">
        <f>IF(AND('様式１－２'!$C$18="☑",'様式１－２'!$C$21="□",'様式１－２'!$C$22="☑",'様式１－２'!$C$23="☑",'様式１－２'!$C$25="☑",'様式１－２'!$C$28="□",'様式１－２'!$C$29="☑",'様式１－２'!$C$30="☑",'様式１－２'!$C$32="☑",'様式１－２'!$C$35="□",'様式１－２'!$C$36="☑",'様式１－２'!$C$37="☑"),"★","")</f>
        <v/>
      </c>
      <c r="B28" s="68" t="s">
        <v>60</v>
      </c>
      <c r="C28" s="69"/>
      <c r="D28" s="69" t="s">
        <v>61</v>
      </c>
      <c r="E28" s="73" t="s">
        <v>61</v>
      </c>
      <c r="F28" s="68" t="s">
        <v>60</v>
      </c>
      <c r="G28" s="69"/>
      <c r="H28" s="69" t="s">
        <v>61</v>
      </c>
      <c r="I28" s="73" t="s">
        <v>61</v>
      </c>
      <c r="J28" s="68" t="s">
        <v>60</v>
      </c>
      <c r="K28" s="69"/>
      <c r="L28" s="69" t="s">
        <v>61</v>
      </c>
      <c r="M28" s="70" t="s">
        <v>61</v>
      </c>
      <c r="N28" s="147">
        <v>8132</v>
      </c>
      <c r="O28" s="50">
        <v>8132</v>
      </c>
      <c r="P28" s="50">
        <v>6248</v>
      </c>
      <c r="Q28" s="50">
        <v>6306</v>
      </c>
      <c r="R28" s="50">
        <v>6160.5405593945379</v>
      </c>
      <c r="S28" s="50">
        <v>6160.5405593945379</v>
      </c>
      <c r="T28" s="50">
        <v>4610.6886344192171</v>
      </c>
      <c r="U28" s="50">
        <v>4658.40169792695</v>
      </c>
      <c r="V28" s="50">
        <v>5065.7523403106279</v>
      </c>
      <c r="W28" s="50">
        <v>5065.7523403106279</v>
      </c>
      <c r="X28" s="50">
        <v>3751.6328931240541</v>
      </c>
      <c r="Y28" s="50">
        <v>3792.0887996722608</v>
      </c>
      <c r="Z28" s="207">
        <f t="shared" si="0"/>
        <v>67.8</v>
      </c>
      <c r="AA28" s="150">
        <f t="shared" si="1"/>
        <v>67.8</v>
      </c>
      <c r="AB28" s="108">
        <f t="shared" si="2"/>
        <v>52.1</v>
      </c>
      <c r="AC28" s="109">
        <f t="shared" si="3"/>
        <v>52.6</v>
      </c>
      <c r="AD28" s="107">
        <f t="shared" si="4"/>
        <v>51.3</v>
      </c>
      <c r="AE28" s="150">
        <f t="shared" si="5"/>
        <v>51.3</v>
      </c>
      <c r="AF28" s="108">
        <f t="shared" si="6"/>
        <v>38.4</v>
      </c>
      <c r="AG28" s="109">
        <f t="shared" si="7"/>
        <v>38.799999999999997</v>
      </c>
      <c r="AH28" s="107">
        <f t="shared" si="8"/>
        <v>42.2</v>
      </c>
      <c r="AI28" s="150">
        <f t="shared" si="9"/>
        <v>42.2</v>
      </c>
      <c r="AJ28" s="108">
        <f t="shared" si="10"/>
        <v>31.3</v>
      </c>
      <c r="AK28" s="109">
        <f t="shared" si="11"/>
        <v>31.6</v>
      </c>
    </row>
    <row r="29" spans="1:37" x14ac:dyDescent="0.2">
      <c r="A29" s="65" t="str">
        <f>IF(AND('様式１－２'!$C$18="☑",'様式１－２'!$C$21="☑",'様式１－２'!$C$22="☑",'様式１－２'!$C$23="☑",'様式１－２'!$C$25="☑",'様式１－２'!$C$28="☑",'様式１－２'!$C$29="☑",'様式１－２'!$C$30="☑",'様式１－２'!$C$32="☑",'様式１－２'!$C$35="☑",'様式１－２'!$C$36="☑",'様式１－２'!$C$37="☑"),"★","")</f>
        <v/>
      </c>
      <c r="B29" s="68" t="s">
        <v>61</v>
      </c>
      <c r="C29" s="69" t="s">
        <v>61</v>
      </c>
      <c r="D29" s="69" t="s">
        <v>61</v>
      </c>
      <c r="E29" s="73" t="s">
        <v>61</v>
      </c>
      <c r="F29" s="68" t="s">
        <v>61</v>
      </c>
      <c r="G29" s="69" t="s">
        <v>61</v>
      </c>
      <c r="H29" s="69" t="s">
        <v>61</v>
      </c>
      <c r="I29" s="73" t="s">
        <v>61</v>
      </c>
      <c r="J29" s="68" t="s">
        <v>61</v>
      </c>
      <c r="K29" s="69" t="s">
        <v>61</v>
      </c>
      <c r="L29" s="69" t="s">
        <v>61</v>
      </c>
      <c r="M29" s="70" t="s">
        <v>61</v>
      </c>
      <c r="N29" s="147">
        <v>11809</v>
      </c>
      <c r="O29" s="50">
        <v>11809</v>
      </c>
      <c r="P29" s="50">
        <v>9073</v>
      </c>
      <c r="Q29" s="50">
        <v>9157</v>
      </c>
      <c r="R29" s="50">
        <v>9185.3842579795983</v>
      </c>
      <c r="S29" s="50">
        <v>9185.3842579795983</v>
      </c>
      <c r="T29" s="50">
        <v>6934.6438828562032</v>
      </c>
      <c r="U29" s="50">
        <v>7003.7455610398156</v>
      </c>
      <c r="V29" s="50">
        <v>7630.5173123409004</v>
      </c>
      <c r="W29" s="50">
        <v>7630.5173123409004</v>
      </c>
      <c r="X29" s="50">
        <v>5722.1145482737738</v>
      </c>
      <c r="Y29" s="50">
        <v>5780.7058612056589</v>
      </c>
      <c r="Z29" s="207">
        <f t="shared" si="0"/>
        <v>98.4</v>
      </c>
      <c r="AA29" s="150">
        <f t="shared" si="1"/>
        <v>98.4</v>
      </c>
      <c r="AB29" s="108">
        <f t="shared" si="2"/>
        <v>75.599999999999994</v>
      </c>
      <c r="AC29" s="109">
        <f t="shared" si="3"/>
        <v>76.3</v>
      </c>
      <c r="AD29" s="107">
        <f t="shared" si="4"/>
        <v>76.5</v>
      </c>
      <c r="AE29" s="150">
        <f t="shared" si="5"/>
        <v>76.5</v>
      </c>
      <c r="AF29" s="108">
        <f t="shared" si="6"/>
        <v>57.8</v>
      </c>
      <c r="AG29" s="109">
        <f t="shared" si="7"/>
        <v>58.4</v>
      </c>
      <c r="AH29" s="215">
        <f t="shared" si="8"/>
        <v>63.6</v>
      </c>
      <c r="AI29" s="107">
        <f t="shared" si="9"/>
        <v>63.6</v>
      </c>
      <c r="AJ29" s="108">
        <f t="shared" si="10"/>
        <v>47.7</v>
      </c>
      <c r="AK29" s="109">
        <f t="shared" si="11"/>
        <v>48.2</v>
      </c>
    </row>
    <row r="30" spans="1:37" x14ac:dyDescent="0.2">
      <c r="B30" s="6"/>
      <c r="C30" s="6"/>
      <c r="D30" s="6"/>
      <c r="E30" s="6"/>
      <c r="F30" s="6"/>
      <c r="G30" s="6"/>
      <c r="H30" s="6"/>
      <c r="I30" s="6"/>
      <c r="J30" s="6"/>
      <c r="K30" s="6"/>
      <c r="L30" s="6"/>
      <c r="M30" s="6"/>
      <c r="N30" s="6"/>
    </row>
    <row r="31" spans="1:37" x14ac:dyDescent="0.2">
      <c r="B31" s="474" t="s">
        <v>84</v>
      </c>
      <c r="C31" s="435" t="s">
        <v>70</v>
      </c>
      <c r="D31" s="435" t="s">
        <v>76</v>
      </c>
      <c r="E31" s="435" t="s">
        <v>77</v>
      </c>
      <c r="F31" s="474" t="s">
        <v>132</v>
      </c>
      <c r="G31" s="435" t="s">
        <v>70</v>
      </c>
      <c r="H31" s="435" t="s">
        <v>76</v>
      </c>
      <c r="I31" s="435" t="s">
        <v>77</v>
      </c>
      <c r="J31" s="474" t="s">
        <v>133</v>
      </c>
      <c r="K31" s="435" t="s">
        <v>70</v>
      </c>
      <c r="L31" s="435" t="s">
        <v>76</v>
      </c>
      <c r="M31" s="435" t="s">
        <v>77</v>
      </c>
      <c r="N31" s="474" t="s">
        <v>134</v>
      </c>
      <c r="O31" s="435" t="s">
        <v>70</v>
      </c>
      <c r="P31" s="435" t="s">
        <v>76</v>
      </c>
      <c r="Q31" s="435" t="s">
        <v>77</v>
      </c>
      <c r="R31" s="474" t="s">
        <v>135</v>
      </c>
      <c r="S31" s="435" t="s">
        <v>70</v>
      </c>
      <c r="T31" s="435" t="s">
        <v>76</v>
      </c>
      <c r="U31" s="435" t="s">
        <v>77</v>
      </c>
      <c r="V31" s="474" t="s">
        <v>136</v>
      </c>
      <c r="W31" s="435" t="s">
        <v>70</v>
      </c>
      <c r="X31" s="435" t="s">
        <v>76</v>
      </c>
      <c r="Y31" s="435" t="s">
        <v>77</v>
      </c>
      <c r="Z31" s="474" t="s">
        <v>137</v>
      </c>
      <c r="AA31" s="435" t="s">
        <v>70</v>
      </c>
      <c r="AB31" s="435" t="s">
        <v>76</v>
      </c>
      <c r="AC31" s="435" t="s">
        <v>77</v>
      </c>
    </row>
    <row r="32" spans="1:37" x14ac:dyDescent="0.2">
      <c r="B32" s="475"/>
      <c r="C32" s="435"/>
      <c r="D32" s="435"/>
      <c r="E32" s="435"/>
      <c r="F32" s="475"/>
      <c r="G32" s="435"/>
      <c r="H32" s="435"/>
      <c r="I32" s="435"/>
      <c r="J32" s="475"/>
      <c r="K32" s="435"/>
      <c r="L32" s="435"/>
      <c r="M32" s="435"/>
      <c r="N32" s="475"/>
      <c r="O32" s="435"/>
      <c r="P32" s="435"/>
      <c r="Q32" s="435"/>
      <c r="R32" s="475"/>
      <c r="S32" s="435"/>
      <c r="T32" s="435"/>
      <c r="U32" s="435"/>
      <c r="V32" s="475"/>
      <c r="W32" s="435"/>
      <c r="X32" s="435"/>
      <c r="Y32" s="435"/>
      <c r="Z32" s="475"/>
      <c r="AA32" s="435"/>
      <c r="AB32" s="435"/>
      <c r="AC32" s="435"/>
    </row>
    <row r="33" spans="1:35" x14ac:dyDescent="0.2">
      <c r="B33" s="216" t="s">
        <v>158</v>
      </c>
      <c r="C33" s="31" t="str">
        <f>IF(AND(判定!C$4=TRUE,様式１!$G$19&gt;=36),VLOOKUP("★",'計算（様式1-2）'!$A$6:$AK$29,26,FALSE),"")</f>
        <v/>
      </c>
      <c r="D33" s="48" t="str">
        <f>IF(AND(判定!C$4=TRUE,AND(様式１!$G$19&gt;=26,様式１!$G$19&lt;36)),VLOOKUP("★",'計算（様式1-2）'!$A$6:$AK$29,30,FALSE),"")</f>
        <v/>
      </c>
      <c r="E33" s="31" t="str">
        <f>IF(AND(判定!C$4=TRUE,様式１!$G$19&lt;26),VLOOKUP("★",'計算（様式1-2）'!$A$6:$AK$29,34,FALSE),"")</f>
        <v/>
      </c>
      <c r="F33" s="216" t="s">
        <v>158</v>
      </c>
      <c r="G33" s="200" t="str">
        <f>IF(AND(判定!$C$4=TRUE,様式１!$G$19&gt;=36),VLOOKUP("★",$A$43:$AF$50,21,FALSE),"")</f>
        <v/>
      </c>
      <c r="H33" s="200" t="str">
        <f>IF(AND(判定!$C$4=TRUE,AND(様式１!$G$19&gt;=26,様式１!$G$19&lt;36)),VLOOKUP("★",$A$43:$AF$50,25,FALSE),"")</f>
        <v/>
      </c>
      <c r="I33" s="200" t="str">
        <f>IF(AND(判定!$C$4=TRUE,様式１!$G$19&lt;26),VLOOKUP("★",$A$43:$AF$50,29,FALSE),"")</f>
        <v/>
      </c>
      <c r="J33" s="216" t="s">
        <v>158</v>
      </c>
      <c r="K33" s="200" t="str">
        <f>IF(AND(判定!$C$4=TRUE,様式１!$G$19&gt;=36),VLOOKUP("★",$A$51:$AF$58,21,FALSE),"")</f>
        <v/>
      </c>
      <c r="L33" s="200" t="str">
        <f>IF(AND(判定!$C$4=TRUE,AND(様式１!$G$19&gt;=26,様式１!$G$19&lt;36)),VLOOKUP("★",$A$51:$AF$58,25,FALSE),"")</f>
        <v/>
      </c>
      <c r="M33" s="200" t="str">
        <f>IF(AND(判定!$C$4=TRUE,様式１!$G$19&lt;26),VLOOKUP("★",$A$51:$AF$58,29,FALSE),"")</f>
        <v/>
      </c>
      <c r="N33" s="216" t="s">
        <v>158</v>
      </c>
      <c r="O33" s="200" t="str">
        <f>IF(AND(判定!$C$4=TRUE,様式１!$G$19&gt;=36),VLOOKUP("★",$A$59:$AF$66,21,FALSE),"")</f>
        <v/>
      </c>
      <c r="P33" s="200" t="str">
        <f>IF(AND(判定!$C$4=TRUE,AND(様式１!$G$19&gt;=26,様式１!$G$19&lt;36)),VLOOKUP("★",$A$59:$AF$66,25,FALSE),"")</f>
        <v/>
      </c>
      <c r="Q33" s="200" t="str">
        <f>IF(AND(判定!$C$4=TRUE,様式１!$G$19&lt;26),VLOOKUP("★",$A$59:$AF$66,29,FALSE),"")</f>
        <v/>
      </c>
      <c r="R33" s="216" t="s">
        <v>158</v>
      </c>
      <c r="S33" s="200" t="str">
        <f>IF(AND(判定!$C$4=TRUE,様式１!$G$19&gt;=36),VLOOKUP("★",$A$67:$AF$74,21,FALSE),"")</f>
        <v/>
      </c>
      <c r="T33" s="200" t="str">
        <f>IF(AND(判定!$C$4=TRUE,AND(様式１!$G$19&gt;=26,様式１!$G$19&lt;36)),VLOOKUP("★",$A$67:$AF$74,25,FALSE),"")</f>
        <v/>
      </c>
      <c r="U33" s="200" t="str">
        <f>IF(AND(判定!$C$4=TRUE,様式１!$G$19&lt;26),VLOOKUP("★",$A$67:$AF$74,29,FALSE),"")</f>
        <v/>
      </c>
      <c r="V33" s="216" t="s">
        <v>158</v>
      </c>
      <c r="W33" s="200" t="str">
        <f>IF(AND(判定!$C$4=TRUE,様式１!$G$19&gt;=36),VLOOKUP("★",$A$75:$AF$82,21,FALSE),"")</f>
        <v/>
      </c>
      <c r="X33" s="200" t="str">
        <f>IF(AND(判定!$C$4=TRUE,AND(様式１!$G$19&gt;=26,様式１!$G$19&lt;36)),VLOOKUP("★",$A$75:$AF$82,25,FALSE),"")</f>
        <v/>
      </c>
      <c r="Y33" s="200" t="str">
        <f>IF(AND(判定!$C$4=TRUE,様式１!$G$19&lt;26),VLOOKUP("★",$A$75:$AF$82,29,FALSE),"")</f>
        <v/>
      </c>
      <c r="Z33" s="216" t="s">
        <v>158</v>
      </c>
      <c r="AA33" s="200" t="str">
        <f>IF(AND(判定!$C$4=TRUE,様式１!$G$19&gt;=36),VLOOKUP("★",$A$83:$AF$90,21,FALSE),"")</f>
        <v/>
      </c>
      <c r="AB33" s="200" t="str">
        <f>IF(AND(判定!$C$4=TRUE,AND(様式１!$G$19&gt;=26,様式１!$G$19&lt;36)),VLOOKUP("★",$A$83:$AF$90,25,FALSE),"")</f>
        <v/>
      </c>
      <c r="AC33" s="200" t="str">
        <f>IF(AND(判定!$C$4=TRUE,様式１!$G$19&lt;26),VLOOKUP("★",$A$83:$AF$90,29,FALSE),"")</f>
        <v/>
      </c>
    </row>
    <row r="34" spans="1:35" x14ac:dyDescent="0.2">
      <c r="B34" s="200" t="s">
        <v>73</v>
      </c>
      <c r="C34" s="31" t="str">
        <f>IF(AND(判定!D$4=TRUE,様式１!$G$19&gt;=36),VLOOKUP("★",'計算（様式1-2）'!$A$6:$AK$29,27,FALSE),"")</f>
        <v/>
      </c>
      <c r="D34" s="48" t="str">
        <f>IF(AND(判定!D$4=TRUE,AND(様式１!$G$19&gt;=26,様式１!$G$19&lt;36)),VLOOKUP("★",'計算（様式1-2）'!$A$6:$AK$29,31,FALSE),"")</f>
        <v/>
      </c>
      <c r="E34" s="31" t="str">
        <f>IF(AND(判定!D$4=TRUE,様式１!$G$19&lt;26),VLOOKUP("★",'計算（様式1-2）'!$A$6:$AK$29,35,FALSE),"")</f>
        <v/>
      </c>
      <c r="F34" s="200" t="s">
        <v>73</v>
      </c>
      <c r="G34" s="200" t="str">
        <f>IF(AND(判定!$D$4=TRUE,様式１!$G$19&gt;=36),VLOOKUP("★",$A$43:$AF$50,22,FALSE),"")</f>
        <v/>
      </c>
      <c r="H34" s="200" t="str">
        <f>IF(AND(判定!$D$4=TRUE,AND(様式１!$G$19&gt;=26,様式１!$G$19&lt;36)),VLOOKUP("★",$A$43:$AF$50,26,FALSE),"")</f>
        <v/>
      </c>
      <c r="I34" s="200" t="str">
        <f>IF(AND(判定!$D$4=TRUE,様式１!$G$19&lt;26),VLOOKUP("★",$A$43:$AF$50,30,FALSE),"")</f>
        <v/>
      </c>
      <c r="J34" s="200" t="s">
        <v>73</v>
      </c>
      <c r="K34" s="200" t="str">
        <f>IF(AND(判定!$D$4=TRUE,様式１!$G$19&gt;=36),VLOOKUP("★",$A$51:$AF$58,22,FALSE),"")</f>
        <v/>
      </c>
      <c r="L34" s="200" t="str">
        <f>IF(AND(判定!$D$4=TRUE,AND(様式１!$G$19&gt;=26,様式１!$G$19&lt;36)),VLOOKUP("★",$A$51:$AF$58,26,FALSE),"")</f>
        <v/>
      </c>
      <c r="M34" s="200" t="str">
        <f>IF(AND(判定!$D$4=TRUE,様式１!$G$19&lt;26),VLOOKUP("★",$A$51:$AF$58,30,FALSE),"")</f>
        <v/>
      </c>
      <c r="N34" s="200" t="s">
        <v>73</v>
      </c>
      <c r="O34" s="200" t="str">
        <f>IF(AND(判定!$D$4=TRUE,様式１!$G$19&gt;=36),VLOOKUP("★",$A$59:$AF$66,22,FALSE),"")</f>
        <v/>
      </c>
      <c r="P34" s="200" t="str">
        <f>IF(AND(判定!$D$4=TRUE,AND(様式１!$G$19&gt;=26,様式１!$G$19&lt;36)),VLOOKUP("★",$A$59:$AF$66,26,FALSE),"")</f>
        <v/>
      </c>
      <c r="Q34" s="200" t="str">
        <f>IF(AND(判定!$D$4=TRUE,様式１!$G$19&lt;26),VLOOKUP("★",$A$59:$AF$66,30,FALSE),"")</f>
        <v/>
      </c>
      <c r="R34" s="200" t="s">
        <v>73</v>
      </c>
      <c r="S34" s="200" t="str">
        <f>IF(AND(判定!$D$4=TRUE,様式１!$G$19&gt;=36),VLOOKUP("★",$A$67:$AF$74,22,FALSE),"")</f>
        <v/>
      </c>
      <c r="T34" s="200" t="str">
        <f>IF(AND(判定!$D$4=TRUE,AND(様式１!$G$19&gt;=26,様式１!$G$19&lt;36)),VLOOKUP("★",$A$67:$AF$74,26,FALSE),"")</f>
        <v/>
      </c>
      <c r="U34" s="200" t="str">
        <f>IF(AND(判定!$D$4=TRUE,様式１!$G$19&lt;26),VLOOKUP("★",$A$67:$AF$74,30,FALSE),"")</f>
        <v/>
      </c>
      <c r="V34" s="200" t="s">
        <v>73</v>
      </c>
      <c r="W34" s="200" t="str">
        <f>IF(AND(判定!$D$4=TRUE,様式１!$G$19&gt;=36),VLOOKUP("★",$A$75:$AF$82,22,FALSE),"")</f>
        <v/>
      </c>
      <c r="X34" s="200" t="str">
        <f>IF(AND(判定!$D$4=TRUE,AND(様式１!$G$19&gt;=26,様式１!$G$19&lt;36)),VLOOKUP("★",$A$75:$AF$82,26,FALSE),"")</f>
        <v/>
      </c>
      <c r="Y34" s="200" t="str">
        <f>IF(AND(判定!$D$4=TRUE,様式１!$G$19&lt;26),VLOOKUP("★",$A$75:$AF$82,30,FALSE),"")</f>
        <v/>
      </c>
      <c r="Z34" s="200" t="s">
        <v>73</v>
      </c>
      <c r="AA34" s="200" t="str">
        <f>IF(AND(判定!$D$4=TRUE,様式１!$G$19&gt;=36),VLOOKUP("★",$A$83:$AF$90,22,FALSE),"")</f>
        <v/>
      </c>
      <c r="AB34" s="200" t="str">
        <f>IF(AND(判定!$D$4=TRUE,AND(様式１!$G$19&gt;=26,様式１!$G$19&lt;36)),VLOOKUP("★",$A$83:$AF$90,26,FALSE),"")</f>
        <v/>
      </c>
      <c r="AC34" s="200" t="str">
        <f>IF(AND(判定!$D$4=TRUE,様式１!$G$19&lt;26),VLOOKUP("★",$A$83:$AF$90,30,FALSE),"")</f>
        <v/>
      </c>
    </row>
    <row r="35" spans="1:35" x14ac:dyDescent="0.2">
      <c r="B35" s="200" t="s">
        <v>74</v>
      </c>
      <c r="C35" s="31" t="str">
        <f>IF(AND(判定!E$4=TRUE,様式１!$G$19&gt;=36),VLOOKUP("★",'計算（様式1-2）'!$A$6:$AK$29,28,FALSE),"")</f>
        <v/>
      </c>
      <c r="D35" s="48" t="str">
        <f>IF(AND(判定!E$4=TRUE,AND(様式１!$G$19&gt;=26,様式１!$G$19&lt;36)),VLOOKUP("★",'計算（様式1-2）'!$A$6:$AK$29,32,FALSE),"")</f>
        <v/>
      </c>
      <c r="E35" s="31" t="str">
        <f>IF(AND(判定!E$4=TRUE,様式１!$G$19&lt;26),VLOOKUP("★",'計算（様式1-2）'!$A$6:$AK$29,36,FALSE),"")</f>
        <v/>
      </c>
      <c r="F35" s="200" t="s">
        <v>74</v>
      </c>
      <c r="G35" s="200" t="str">
        <f>IF(AND(判定!$E$4=TRUE,様式１!$G$19&gt;=36),VLOOKUP("★",$A$43:$AF$50,23,FALSE),"")</f>
        <v/>
      </c>
      <c r="H35" s="200" t="str">
        <f>IF(AND(判定!$E$4=TRUE,AND(様式１!$G$19&gt;=26,様式１!$G$19&lt;36)),VLOOKUP("★",$A$43:$AF$50,27,FALSE),"")</f>
        <v/>
      </c>
      <c r="I35" s="200" t="str">
        <f>IF(AND(判定!$E$4=TRUE,様式１!$G$19&lt;26),VLOOKUP("★",$A$43:$AF$50,31,FALSE),"")</f>
        <v/>
      </c>
      <c r="J35" s="200" t="s">
        <v>74</v>
      </c>
      <c r="K35" s="200" t="str">
        <f>IF(AND(判定!$E$4=TRUE,様式１!$G$19&gt;=36),VLOOKUP("★",$A$51:$AF$58,23,FALSE),"")</f>
        <v/>
      </c>
      <c r="L35" s="200" t="str">
        <f>IF(AND(判定!$E$4=TRUE,AND(様式１!$G$19&gt;=26,様式１!$G$19&lt;36)),VLOOKUP("★",$A$51:$AF$58,27,FALSE),"")</f>
        <v/>
      </c>
      <c r="M35" s="200" t="str">
        <f>IF(AND(判定!$E$4=TRUE,様式１!$G$19&lt;26),VLOOKUP("★",$A$51:$AF$58,31,FALSE),"")</f>
        <v/>
      </c>
      <c r="N35" s="200" t="s">
        <v>74</v>
      </c>
      <c r="O35" s="200" t="str">
        <f>IF(AND(判定!$E$4=TRUE,様式１!$G$19&gt;=36),VLOOKUP("★",$A$59:$AF$66,23,FALSE),"")</f>
        <v/>
      </c>
      <c r="P35" s="200" t="str">
        <f>IF(AND(判定!$E$4=TRUE,AND(様式１!$G$19&gt;=26,様式１!$G$19&lt;36)),VLOOKUP("★",$A$59:$AF$66,27,FALSE),"")</f>
        <v/>
      </c>
      <c r="Q35" s="200" t="str">
        <f>IF(AND(判定!$E$4=TRUE,様式１!$G$19&lt;26),VLOOKUP("★",$A$59:$AF$66,31,FALSE),"")</f>
        <v/>
      </c>
      <c r="R35" s="200" t="s">
        <v>74</v>
      </c>
      <c r="S35" s="200" t="str">
        <f>IF(AND(判定!$E$4=TRUE,様式１!$G$19&gt;=36),VLOOKUP("★",$A$67:$AF$74,23,FALSE),"")</f>
        <v/>
      </c>
      <c r="T35" s="200" t="str">
        <f>IF(AND(判定!$E$4=TRUE,AND(様式１!$G$19&gt;=26,様式１!$G$19&lt;36)),VLOOKUP("★",$A$67:$AF$74,27,FALSE),"")</f>
        <v/>
      </c>
      <c r="U35" s="200" t="str">
        <f>IF(AND(判定!$E$4=TRUE,様式１!$G$19&lt;26),VLOOKUP("★",$A$67:$AF$74,31,FALSE),"")</f>
        <v/>
      </c>
      <c r="V35" s="200" t="s">
        <v>74</v>
      </c>
      <c r="W35" s="200" t="str">
        <f>IF(AND(判定!$E$4=TRUE,様式１!$G$19&gt;=36),VLOOKUP("★",$A$75:$AF$82,23,FALSE),"")</f>
        <v/>
      </c>
      <c r="X35" s="200" t="str">
        <f>IF(AND(判定!$E$4=TRUE,AND(様式１!$G$19&gt;=26,様式１!$G$19&lt;36)),VLOOKUP("★",$A$75:$AF$82,27,FALSE),"")</f>
        <v/>
      </c>
      <c r="Y35" s="200" t="str">
        <f>IF(AND(判定!$E$4=TRUE,様式１!$G$19&lt;26),VLOOKUP("★",$A$75:$AF$82,31,FALSE),"")</f>
        <v/>
      </c>
      <c r="Z35" s="200" t="s">
        <v>74</v>
      </c>
      <c r="AA35" s="200" t="str">
        <f>IF(AND(判定!$E$4=TRUE,様式１!$G$19&gt;=36),VLOOKUP("★",$A$83:$AF$90,23,FALSE),"")</f>
        <v/>
      </c>
      <c r="AB35" s="200" t="str">
        <f>IF(AND(判定!$E$4=TRUE,AND(様式１!$G$19&gt;=26,様式１!$G$19&lt;36)),VLOOKUP("★",$A$83:$AF$90,27,FALSE),"")</f>
        <v/>
      </c>
      <c r="AC35" s="200" t="str">
        <f>IF(AND(判定!$E$4=TRUE,様式１!$G$19&lt;26),VLOOKUP("★",$A$83:$AF$90,31,FALSE),"")</f>
        <v/>
      </c>
    </row>
    <row r="36" spans="1:35" x14ac:dyDescent="0.2">
      <c r="B36" s="55" t="s">
        <v>75</v>
      </c>
      <c r="C36" s="31" t="str">
        <f>IF(AND(判定!F$4=TRUE,様式１!$G$19&gt;=36),VLOOKUP("★",'計算（様式1-2）'!$A$6:$AK$29,29,FALSE),"")</f>
        <v/>
      </c>
      <c r="D36" s="48" t="str">
        <f>IF(AND(判定!F$4=TRUE,AND(様式１!$G$19&gt;=26,様式１!$G$19&lt;36)),VLOOKUP("★",'計算（様式1-2）'!$A$6:$AK$29,33,FALSE),"")</f>
        <v/>
      </c>
      <c r="E36" s="31" t="str">
        <f>IF(AND(判定!F$4=TRUE,様式１!$G$19&lt;26),VLOOKUP("★",'計算（様式1-2）'!$A$6:$AK$29,35,FALSE),"")</f>
        <v/>
      </c>
      <c r="F36" s="200" t="s">
        <v>75</v>
      </c>
      <c r="G36" s="200" t="str">
        <f>IF(AND(判定!$F$4=TRUE,様式１!$G$19&gt;=36),VLOOKUP("★",$A$43:$AF$50,24,FALSE),"")</f>
        <v/>
      </c>
      <c r="H36" s="200" t="str">
        <f>IF(AND(判定!$F$4=TRUE,AND(様式１!$G$19&gt;=26,様式１!$G$19&lt;36)),VLOOKUP("★",$A$43:$AF$50,28,FALSE),"")</f>
        <v/>
      </c>
      <c r="I36" s="200" t="str">
        <f>IF(AND(判定!$F$4=TRUE,様式１!$G$19&lt;26),VLOOKUP("★",$A$43:$AF$50,32,FALSE),"")</f>
        <v/>
      </c>
      <c r="J36" s="200" t="s">
        <v>75</v>
      </c>
      <c r="K36" s="200" t="str">
        <f>IF(AND(判定!$F$4=TRUE,様式１!$G$19&gt;=36),VLOOKUP("★",$A$51:$AF$58,24,FALSE),"")</f>
        <v/>
      </c>
      <c r="L36" s="200" t="str">
        <f>IF(AND(判定!$F$4=TRUE,AND(様式１!$G$19&gt;=26,様式１!$G$19&lt;36)),VLOOKUP("★",$A$51:$AF$58,28,FALSE),"")</f>
        <v/>
      </c>
      <c r="M36" s="200" t="str">
        <f>IF(AND(判定!$F$4=TRUE,様式１!$G$19&lt;26),VLOOKUP("★",$A$51:$AF$58,32,FALSE),"")</f>
        <v/>
      </c>
      <c r="N36" s="200" t="s">
        <v>75</v>
      </c>
      <c r="O36" s="200" t="str">
        <f>IF(AND(判定!$F$4=TRUE,様式１!$G$19&gt;=36),VLOOKUP("★",$A$59:$AF$66,24,FALSE),"")</f>
        <v/>
      </c>
      <c r="P36" s="200" t="str">
        <f>IF(AND(判定!$F$4=TRUE,AND(様式１!$G$19&gt;=26,様式１!$G$19&lt;36)),VLOOKUP("★",$A$59:$AF$66,28,FALSE),"")</f>
        <v/>
      </c>
      <c r="Q36" s="200" t="str">
        <f>IF(AND(判定!$F$4=TRUE,様式１!$G$19&lt;26),VLOOKUP("★",$A$59:$AF$66,32,FALSE),"")</f>
        <v/>
      </c>
      <c r="R36" s="200" t="s">
        <v>75</v>
      </c>
      <c r="S36" s="200" t="str">
        <f>IF(AND(判定!$F$4=TRUE,様式１!$G$19&gt;=36),VLOOKUP("★",$A$67:$AF$74,24,FALSE),"")</f>
        <v/>
      </c>
      <c r="T36" s="200" t="str">
        <f>IF(AND(判定!$F$4=TRUE,AND(様式１!$G$19&gt;=26,様式１!$G$19&lt;36)),VLOOKUP("★",$A$67:$AF$74,28,FALSE),"")</f>
        <v/>
      </c>
      <c r="U36" s="200" t="str">
        <f>IF(AND(判定!$F$4=TRUE,様式１!$G$19&lt;26),VLOOKUP("★",$A$67:$AF$74,32,FALSE),"")</f>
        <v/>
      </c>
      <c r="V36" s="200" t="s">
        <v>75</v>
      </c>
      <c r="W36" s="200" t="str">
        <f>IF(AND(判定!$F$4=TRUE,様式１!$G$19&gt;=36),VLOOKUP("★",$A$75:$AF$82,24,FALSE),"")</f>
        <v/>
      </c>
      <c r="X36" s="200" t="str">
        <f>IF(AND(判定!$F$4=TRUE,AND(様式１!$G$19&gt;=26,様式１!$G$19&lt;36)),VLOOKUP("★",$A$75:$AF$82,28,FALSE),"")</f>
        <v/>
      </c>
      <c r="Y36" s="200" t="str">
        <f>IF(AND(判定!$F$4=TRUE,様式１!$G$19&lt;26),VLOOKUP("★",$A$75:$AF$82,32,FALSE),"")</f>
        <v/>
      </c>
      <c r="Z36" s="200" t="s">
        <v>75</v>
      </c>
      <c r="AA36" s="200" t="str">
        <f>IF(AND(判定!$F$4=TRUE,様式１!$G$19&gt;=36),VLOOKUP("★",$A$83:$AF$90,24,FALSE),"")</f>
        <v/>
      </c>
      <c r="AB36" s="200" t="str">
        <f>IF(AND(判定!$F$4=TRUE,AND(様式１!$G$19&gt;=26,様式１!$G$19&lt;36)),VLOOKUP("★",$A$83:$AF$90,28,FALSE),"")</f>
        <v/>
      </c>
      <c r="AC36" s="200" t="str">
        <f>IF(AND(判定!$F$4=TRUE,様式１!$G$19&lt;26),VLOOKUP("★",$A$83:$AF$90,32,FALSE),"")</f>
        <v/>
      </c>
      <c r="AF36" s="45"/>
      <c r="AG36" s="45"/>
      <c r="AH36" s="45"/>
      <c r="AI36" s="45"/>
    </row>
    <row r="37" spans="1:35" ht="19" x14ac:dyDescent="0.2">
      <c r="B37" s="482">
        <f>SUMIF(C33:E36,"&lt;&gt;#N/A")</f>
        <v>0</v>
      </c>
      <c r="C37" s="483"/>
      <c r="D37" s="483"/>
      <c r="E37" s="484"/>
      <c r="F37" s="451">
        <f>SUMIF(G33:AC36,"&lt;&gt;#N/A")</f>
        <v>0</v>
      </c>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153"/>
      <c r="AE37" s="152"/>
      <c r="AF37" s="152"/>
      <c r="AG37" s="152"/>
      <c r="AH37" s="152"/>
      <c r="AI37" s="152"/>
    </row>
    <row r="38" spans="1:35" ht="19.5" thickBot="1" x14ac:dyDescent="0.25">
      <c r="B38" s="6"/>
      <c r="C38" s="56"/>
      <c r="D38" s="56"/>
      <c r="E38" s="56"/>
      <c r="F38" s="6"/>
      <c r="G38" s="6"/>
      <c r="H38" s="6"/>
      <c r="I38" s="6"/>
      <c r="J38" s="6"/>
      <c r="K38" s="6"/>
      <c r="L38" s="6"/>
      <c r="M38" s="6"/>
      <c r="N38" s="6"/>
      <c r="AD38" s="45"/>
      <c r="AE38" s="45"/>
    </row>
    <row r="39" spans="1:35" ht="19.5" thickBot="1" x14ac:dyDescent="0.25">
      <c r="B39" s="479" t="s">
        <v>112</v>
      </c>
      <c r="C39" s="480"/>
      <c r="D39" s="480"/>
      <c r="E39" s="480"/>
      <c r="F39" s="481"/>
      <c r="G39" s="485">
        <f>IF(B37=0,F37,B37)</f>
        <v>0</v>
      </c>
      <c r="H39" s="486"/>
      <c r="I39" s="36" t="s">
        <v>53</v>
      </c>
      <c r="J39" s="487">
        <f>様式１!M20</f>
        <v>0</v>
      </c>
      <c r="K39" s="487"/>
      <c r="L39" s="201" t="s">
        <v>105</v>
      </c>
      <c r="M39" s="37">
        <f>ROUND(G39*J39,0)</f>
        <v>0</v>
      </c>
      <c r="N39" s="148"/>
    </row>
    <row r="40" spans="1:35" x14ac:dyDescent="0.2">
      <c r="A40" s="9">
        <v>1</v>
      </c>
      <c r="B40" s="173">
        <v>2</v>
      </c>
      <c r="C40" s="9">
        <v>3</v>
      </c>
      <c r="D40" s="173">
        <v>4</v>
      </c>
      <c r="E40" s="9">
        <v>5</v>
      </c>
      <c r="F40" s="173">
        <v>6</v>
      </c>
      <c r="G40" s="9">
        <v>7</v>
      </c>
      <c r="H40" s="173">
        <v>8</v>
      </c>
      <c r="I40" s="9">
        <v>9</v>
      </c>
      <c r="J40" s="173">
        <v>10</v>
      </c>
      <c r="K40" s="9">
        <v>11</v>
      </c>
      <c r="L40" s="173">
        <v>12</v>
      </c>
      <c r="M40" s="9">
        <v>13</v>
      </c>
      <c r="N40" s="174">
        <v>14</v>
      </c>
      <c r="O40" s="174">
        <v>15</v>
      </c>
      <c r="P40" s="174">
        <v>16</v>
      </c>
      <c r="Q40" s="174">
        <v>17</v>
      </c>
      <c r="R40" s="174">
        <v>18</v>
      </c>
      <c r="S40" s="174">
        <v>19</v>
      </c>
      <c r="T40" s="174">
        <v>20</v>
      </c>
      <c r="U40" s="174">
        <v>21</v>
      </c>
      <c r="V40" s="174">
        <v>22</v>
      </c>
      <c r="W40" s="174">
        <v>23</v>
      </c>
      <c r="X40" s="174">
        <v>24</v>
      </c>
      <c r="Y40" s="174">
        <v>25</v>
      </c>
      <c r="Z40" s="174">
        <v>26</v>
      </c>
      <c r="AA40" s="174">
        <v>27</v>
      </c>
      <c r="AB40" s="174">
        <v>28</v>
      </c>
      <c r="AC40" s="174">
        <v>29</v>
      </c>
      <c r="AD40" s="174">
        <v>30</v>
      </c>
      <c r="AE40" s="174">
        <v>31</v>
      </c>
      <c r="AF40" s="174">
        <v>32</v>
      </c>
    </row>
    <row r="41" spans="1:35" x14ac:dyDescent="0.2">
      <c r="B41" s="126"/>
      <c r="C41" s="127"/>
      <c r="D41" s="128" t="s">
        <v>138</v>
      </c>
      <c r="E41" s="129"/>
      <c r="F41" s="129"/>
      <c r="G41" s="130"/>
      <c r="H41" s="130"/>
      <c r="I41" s="476" t="s">
        <v>70</v>
      </c>
      <c r="J41" s="477"/>
      <c r="K41" s="477"/>
      <c r="L41" s="478"/>
      <c r="M41" s="476" t="s">
        <v>71</v>
      </c>
      <c r="N41" s="477"/>
      <c r="O41" s="477"/>
      <c r="P41" s="478"/>
      <c r="Q41" s="476" t="s">
        <v>72</v>
      </c>
      <c r="R41" s="477"/>
      <c r="S41" s="477"/>
      <c r="T41" s="478"/>
      <c r="U41" s="439" t="s">
        <v>70</v>
      </c>
      <c r="V41" s="440"/>
      <c r="W41" s="440"/>
      <c r="X41" s="441"/>
      <c r="Y41" s="439" t="s">
        <v>71</v>
      </c>
      <c r="Z41" s="440"/>
      <c r="AA41" s="440"/>
      <c r="AB41" s="441"/>
      <c r="AC41" s="439" t="s">
        <v>72</v>
      </c>
      <c r="AD41" s="440"/>
      <c r="AE41" s="440"/>
      <c r="AF41" s="441"/>
    </row>
    <row r="42" spans="1:35" x14ac:dyDescent="0.2">
      <c r="B42" s="106"/>
      <c r="C42" s="131"/>
      <c r="D42" s="68" t="s">
        <v>42</v>
      </c>
      <c r="E42" s="69" t="s">
        <v>58</v>
      </c>
      <c r="F42" s="69" t="s">
        <v>106</v>
      </c>
      <c r="G42" s="69" t="s">
        <v>59</v>
      </c>
      <c r="H42" s="147"/>
      <c r="I42" s="155">
        <v>2</v>
      </c>
      <c r="J42" s="112">
        <v>3</v>
      </c>
      <c r="K42" s="112">
        <v>4</v>
      </c>
      <c r="L42" s="112">
        <v>5</v>
      </c>
      <c r="M42" s="112">
        <v>2</v>
      </c>
      <c r="N42" s="112">
        <v>3</v>
      </c>
      <c r="O42" s="112">
        <v>4</v>
      </c>
      <c r="P42" s="112">
        <v>5</v>
      </c>
      <c r="Q42" s="112">
        <v>2</v>
      </c>
      <c r="R42" s="112">
        <v>3</v>
      </c>
      <c r="S42" s="112">
        <v>4</v>
      </c>
      <c r="T42" s="112">
        <v>5</v>
      </c>
      <c r="U42" s="205">
        <v>2</v>
      </c>
      <c r="V42" s="149">
        <v>3</v>
      </c>
      <c r="W42" s="104">
        <v>4</v>
      </c>
      <c r="X42" s="105">
        <v>5</v>
      </c>
      <c r="Y42" s="205">
        <v>2</v>
      </c>
      <c r="Z42" s="149">
        <v>3</v>
      </c>
      <c r="AA42" s="104">
        <v>4</v>
      </c>
      <c r="AB42" s="105">
        <v>5</v>
      </c>
      <c r="AC42" s="205">
        <v>2</v>
      </c>
      <c r="AD42" s="149">
        <v>3</v>
      </c>
      <c r="AE42" s="104">
        <v>4</v>
      </c>
      <c r="AF42" s="105">
        <v>5</v>
      </c>
    </row>
    <row r="43" spans="1:35" x14ac:dyDescent="0.2">
      <c r="A43" s="65" t="str">
        <f>IF(AND('様式１－２'!$C$18="☑",'様式１－２'!$C$21="□",'様式１－２'!$C$22="□",'様式１－２'!$C$23="□"),"★","")</f>
        <v/>
      </c>
      <c r="B43" s="106" t="s">
        <v>126</v>
      </c>
      <c r="C43" s="132">
        <f>'様式１－２'!B18</f>
        <v>0</v>
      </c>
      <c r="D43" s="68" t="s">
        <v>61</v>
      </c>
      <c r="E43" s="69"/>
      <c r="F43" s="69"/>
      <c r="G43" s="73"/>
      <c r="H43" s="147"/>
      <c r="I43" s="155">
        <v>1779</v>
      </c>
      <c r="J43" s="113">
        <v>1779</v>
      </c>
      <c r="K43" s="113">
        <v>1438</v>
      </c>
      <c r="L43" s="113">
        <v>1130</v>
      </c>
      <c r="M43" s="113">
        <v>1241</v>
      </c>
      <c r="N43" s="113">
        <v>1241</v>
      </c>
      <c r="O43" s="113">
        <v>936</v>
      </c>
      <c r="P43" s="113">
        <v>1045</v>
      </c>
      <c r="Q43" s="113">
        <v>1078</v>
      </c>
      <c r="R43" s="113">
        <v>1078</v>
      </c>
      <c r="S43" s="113">
        <v>808</v>
      </c>
      <c r="T43" s="113">
        <v>920</v>
      </c>
      <c r="U43" s="206">
        <f t="shared" ref="U43:U90" si="12">ROUND(I43/$AA$3,1)</f>
        <v>14.8</v>
      </c>
      <c r="V43" s="150">
        <f t="shared" ref="V43:V90" si="13">ROUND(J43/$AA$3,1)</f>
        <v>14.8</v>
      </c>
      <c r="W43" s="108">
        <f t="shared" ref="W43:W90" si="14">ROUND(K43/$AA$3,1)</f>
        <v>12</v>
      </c>
      <c r="X43" s="109">
        <f t="shared" ref="X43:X90" si="15">ROUND(L43/$AA$3,1)</f>
        <v>9.4</v>
      </c>
      <c r="Y43" s="107">
        <f t="shared" ref="Y43:Y90" si="16">ROUND(M43/$AA$3,1)</f>
        <v>10.3</v>
      </c>
      <c r="Z43" s="150">
        <f t="shared" ref="Z43:Z90" si="17">ROUND(N43/$AA$3,1)</f>
        <v>10.3</v>
      </c>
      <c r="AA43" s="108">
        <f t="shared" ref="AA43:AA90" si="18">ROUND(O43/$AA$3,1)</f>
        <v>7.8</v>
      </c>
      <c r="AB43" s="109">
        <f t="shared" ref="AB43:AB90" si="19">ROUND(P43/$AA$3,1)</f>
        <v>8.6999999999999993</v>
      </c>
      <c r="AC43" s="107">
        <f t="shared" ref="AC43:AC90" si="20">ROUND(Q43/$AA$3,1)</f>
        <v>9</v>
      </c>
      <c r="AD43" s="150">
        <f t="shared" ref="AD43:AD90" si="21">ROUND(R43/$AA$3,1)</f>
        <v>9</v>
      </c>
      <c r="AE43" s="108">
        <f t="shared" ref="AE43:AE90" si="22">ROUND(S43/$AA$3,1)</f>
        <v>6.7</v>
      </c>
      <c r="AF43" s="109">
        <f t="shared" ref="AF43:AF90" si="23">ROUND(T43/$AA$3,1)</f>
        <v>7.7</v>
      </c>
    </row>
    <row r="44" spans="1:35" x14ac:dyDescent="0.2">
      <c r="A44" s="65" t="str">
        <f>IF(AND('様式１－２'!$C$18="☑",'様式１－２'!$C$21="☑",'様式１－２'!$C$22="□",'様式１－２'!$C$23="□"),"★","")</f>
        <v/>
      </c>
      <c r="B44" s="106"/>
      <c r="C44" s="133"/>
      <c r="D44" s="68" t="s">
        <v>61</v>
      </c>
      <c r="E44" s="69" t="s">
        <v>61</v>
      </c>
      <c r="F44" s="69"/>
      <c r="G44" s="73"/>
      <c r="H44" s="147"/>
      <c r="I44" s="155">
        <v>2471</v>
      </c>
      <c r="J44" s="114">
        <v>2471</v>
      </c>
      <c r="K44" s="114">
        <v>1963</v>
      </c>
      <c r="L44" s="114">
        <v>1688</v>
      </c>
      <c r="M44" s="114">
        <v>1503.5810332346168</v>
      </c>
      <c r="N44" s="114">
        <v>1503.5810332346168</v>
      </c>
      <c r="O44" s="114">
        <v>1085.6804080289571</v>
      </c>
      <c r="P44" s="50">
        <v>859.45467588022382</v>
      </c>
      <c r="Q44" s="50">
        <v>1117.1163580796317</v>
      </c>
      <c r="R44" s="114">
        <v>1117.1163580796317</v>
      </c>
      <c r="S44" s="114">
        <v>762.77841796775272</v>
      </c>
      <c r="T44" s="50">
        <v>570.96161967884177</v>
      </c>
      <c r="U44" s="207">
        <f t="shared" si="12"/>
        <v>20.6</v>
      </c>
      <c r="V44" s="150">
        <f t="shared" si="13"/>
        <v>20.6</v>
      </c>
      <c r="W44" s="108">
        <f t="shared" si="14"/>
        <v>16.399999999999999</v>
      </c>
      <c r="X44" s="109">
        <f t="shared" si="15"/>
        <v>14.1</v>
      </c>
      <c r="Y44" s="107">
        <f t="shared" si="16"/>
        <v>12.5</v>
      </c>
      <c r="Z44" s="150">
        <f t="shared" si="17"/>
        <v>12.5</v>
      </c>
      <c r="AA44" s="108">
        <f t="shared" si="18"/>
        <v>9</v>
      </c>
      <c r="AB44" s="109">
        <f t="shared" si="19"/>
        <v>7.2</v>
      </c>
      <c r="AC44" s="107">
        <f t="shared" si="20"/>
        <v>9.3000000000000007</v>
      </c>
      <c r="AD44" s="150">
        <f t="shared" si="21"/>
        <v>9.3000000000000007</v>
      </c>
      <c r="AE44" s="108">
        <f t="shared" si="22"/>
        <v>6.4</v>
      </c>
      <c r="AF44" s="109">
        <f t="shared" si="23"/>
        <v>4.8</v>
      </c>
    </row>
    <row r="45" spans="1:35" x14ac:dyDescent="0.2">
      <c r="A45" s="65" t="str">
        <f>IF(AND('様式１－２'!$C$18="☑",'様式１－２'!$C$21="",'様式１－２'!$C$22="☑",'様式１－２'!$C$23="□"),"★","")</f>
        <v/>
      </c>
      <c r="B45" s="106"/>
      <c r="C45" s="133"/>
      <c r="D45" s="68" t="s">
        <v>61</v>
      </c>
      <c r="E45" s="69"/>
      <c r="F45" s="69" t="s">
        <v>61</v>
      </c>
      <c r="G45" s="73"/>
      <c r="H45" s="147"/>
      <c r="I45" s="155">
        <v>1839</v>
      </c>
      <c r="J45" s="114">
        <v>1839</v>
      </c>
      <c r="K45" s="114">
        <v>1461</v>
      </c>
      <c r="L45" s="114">
        <v>1256</v>
      </c>
      <c r="M45" s="114">
        <v>983.67316880552823</v>
      </c>
      <c r="N45" s="114">
        <v>983.67316880552823</v>
      </c>
      <c r="O45" s="114">
        <v>672.71561697926961</v>
      </c>
      <c r="P45" s="50">
        <v>504.0746166502139</v>
      </c>
      <c r="Q45" s="50">
        <v>676.28647983020744</v>
      </c>
      <c r="R45" s="114">
        <v>676.28647983020744</v>
      </c>
      <c r="S45" s="114">
        <v>412.62557163672273</v>
      </c>
      <c r="T45" s="50">
        <v>269.63486745771638</v>
      </c>
      <c r="U45" s="207">
        <f t="shared" si="12"/>
        <v>15.3</v>
      </c>
      <c r="V45" s="150">
        <f t="shared" si="13"/>
        <v>15.3</v>
      </c>
      <c r="W45" s="108">
        <f t="shared" si="14"/>
        <v>12.2</v>
      </c>
      <c r="X45" s="109">
        <f t="shared" si="15"/>
        <v>10.5</v>
      </c>
      <c r="Y45" s="107">
        <f t="shared" si="16"/>
        <v>8.1999999999999993</v>
      </c>
      <c r="Z45" s="150">
        <f t="shared" si="17"/>
        <v>8.1999999999999993</v>
      </c>
      <c r="AA45" s="108">
        <f t="shared" si="18"/>
        <v>5.6</v>
      </c>
      <c r="AB45" s="109">
        <f t="shared" si="19"/>
        <v>4.2</v>
      </c>
      <c r="AC45" s="107">
        <f t="shared" si="20"/>
        <v>5.6</v>
      </c>
      <c r="AD45" s="150">
        <f t="shared" si="21"/>
        <v>5.6</v>
      </c>
      <c r="AE45" s="108">
        <f t="shared" si="22"/>
        <v>3.4</v>
      </c>
      <c r="AF45" s="109">
        <f t="shared" si="23"/>
        <v>2.2000000000000002</v>
      </c>
    </row>
    <row r="46" spans="1:35" x14ac:dyDescent="0.2">
      <c r="A46" s="65" t="str">
        <f>IF(AND('様式１－２'!$C$18="☑",'様式１－２'!$C$21="□",'様式１－２'!$C$22="□",'様式１－２'!$C$23="☑"),"★","")</f>
        <v/>
      </c>
      <c r="B46" s="106"/>
      <c r="C46" s="133"/>
      <c r="D46" s="68" t="s">
        <v>60</v>
      </c>
      <c r="E46" s="69"/>
      <c r="F46" s="69"/>
      <c r="G46" s="73" t="s">
        <v>61</v>
      </c>
      <c r="H46" s="147"/>
      <c r="I46" s="155">
        <v>1853</v>
      </c>
      <c r="J46" s="114">
        <v>1853</v>
      </c>
      <c r="K46" s="114">
        <v>1472</v>
      </c>
      <c r="L46" s="114">
        <v>1266</v>
      </c>
      <c r="M46" s="114">
        <v>995.19011516946364</v>
      </c>
      <c r="N46" s="114">
        <v>995.19011516946364</v>
      </c>
      <c r="O46" s="114">
        <v>681.76464626521886</v>
      </c>
      <c r="P46" s="50">
        <v>512.30100691016776</v>
      </c>
      <c r="Q46" s="50">
        <v>686.05169865218818</v>
      </c>
      <c r="R46" s="114">
        <v>686.05169865218818</v>
      </c>
      <c r="S46" s="114">
        <v>420.29824356827908</v>
      </c>
      <c r="T46" s="50">
        <v>276.6100237591312</v>
      </c>
      <c r="U46" s="207">
        <f t="shared" si="12"/>
        <v>15.4</v>
      </c>
      <c r="V46" s="150">
        <f t="shared" si="13"/>
        <v>15.4</v>
      </c>
      <c r="W46" s="108">
        <f t="shared" si="14"/>
        <v>12.3</v>
      </c>
      <c r="X46" s="109">
        <f t="shared" si="15"/>
        <v>10.6</v>
      </c>
      <c r="Y46" s="107">
        <f t="shared" si="16"/>
        <v>8.3000000000000007</v>
      </c>
      <c r="Z46" s="150">
        <f t="shared" si="17"/>
        <v>8.3000000000000007</v>
      </c>
      <c r="AA46" s="108">
        <f t="shared" si="18"/>
        <v>5.7</v>
      </c>
      <c r="AB46" s="109">
        <f t="shared" si="19"/>
        <v>4.3</v>
      </c>
      <c r="AC46" s="107">
        <f t="shared" si="20"/>
        <v>5.7</v>
      </c>
      <c r="AD46" s="150">
        <f t="shared" si="21"/>
        <v>5.7</v>
      </c>
      <c r="AE46" s="108">
        <f t="shared" si="22"/>
        <v>3.5</v>
      </c>
      <c r="AF46" s="109">
        <f t="shared" si="23"/>
        <v>2.2999999999999998</v>
      </c>
    </row>
    <row r="47" spans="1:35" x14ac:dyDescent="0.2">
      <c r="A47" s="65" t="str">
        <f>IF(AND('様式１－２'!$C$18="☑",'様式１－２'!$C$21="☑",'様式１－２'!$C$22="☑",'様式１－２'!$C$23="□"),"★","")</f>
        <v/>
      </c>
      <c r="B47" s="106"/>
      <c r="C47" s="133"/>
      <c r="D47" s="68" t="s">
        <v>60</v>
      </c>
      <c r="E47" s="69" t="s">
        <v>61</v>
      </c>
      <c r="F47" s="69" t="s">
        <v>61</v>
      </c>
      <c r="G47" s="73"/>
      <c r="H47" s="147"/>
      <c r="I47" s="155">
        <v>2728</v>
      </c>
      <c r="J47" s="114">
        <v>2728</v>
      </c>
      <c r="K47" s="114">
        <v>2167</v>
      </c>
      <c r="L47" s="114">
        <v>1864</v>
      </c>
      <c r="M47" s="114">
        <v>1714.9992629154326</v>
      </c>
      <c r="N47" s="114">
        <v>1714.9992629154326</v>
      </c>
      <c r="O47" s="114">
        <v>1253.4987693320172</v>
      </c>
      <c r="P47" s="50">
        <v>1004.2391444554129</v>
      </c>
      <c r="Q47" s="50">
        <v>1296.3778750259953</v>
      </c>
      <c r="R47" s="114">
        <v>1296.3778750259953</v>
      </c>
      <c r="S47" s="114">
        <v>905.07160651661729</v>
      </c>
      <c r="T47" s="50">
        <v>693.72437058374464</v>
      </c>
      <c r="U47" s="207">
        <f t="shared" si="12"/>
        <v>22.7</v>
      </c>
      <c r="V47" s="150">
        <f t="shared" si="13"/>
        <v>22.7</v>
      </c>
      <c r="W47" s="108">
        <f t="shared" si="14"/>
        <v>18.100000000000001</v>
      </c>
      <c r="X47" s="109">
        <f t="shared" si="15"/>
        <v>15.5</v>
      </c>
      <c r="Y47" s="107">
        <f t="shared" si="16"/>
        <v>14.3</v>
      </c>
      <c r="Z47" s="150">
        <f t="shared" si="17"/>
        <v>14.3</v>
      </c>
      <c r="AA47" s="108">
        <f t="shared" si="18"/>
        <v>10.4</v>
      </c>
      <c r="AB47" s="109">
        <f t="shared" si="19"/>
        <v>8.4</v>
      </c>
      <c r="AC47" s="107">
        <f t="shared" si="20"/>
        <v>10.8</v>
      </c>
      <c r="AD47" s="150">
        <f t="shared" si="21"/>
        <v>10.8</v>
      </c>
      <c r="AE47" s="108">
        <f t="shared" si="22"/>
        <v>7.5</v>
      </c>
      <c r="AF47" s="109">
        <f t="shared" si="23"/>
        <v>5.8</v>
      </c>
    </row>
    <row r="48" spans="1:35" x14ac:dyDescent="0.2">
      <c r="A48" s="65" t="str">
        <f>IF(AND('様式１－２'!$C$18="☑",'様式１－２'!$C$21="☑",'様式１－２'!$C$22="□",'様式１－２'!$C$23="☑"),"★","")</f>
        <v/>
      </c>
      <c r="B48" s="106"/>
      <c r="C48" s="133"/>
      <c r="D48" s="68" t="s">
        <v>125</v>
      </c>
      <c r="E48" s="69" t="s">
        <v>61</v>
      </c>
      <c r="F48" s="69"/>
      <c r="G48" s="73" t="s">
        <v>61</v>
      </c>
      <c r="H48" s="147"/>
      <c r="I48" s="155">
        <v>2752</v>
      </c>
      <c r="J48" s="114">
        <v>2752</v>
      </c>
      <c r="K48" s="114">
        <v>2186</v>
      </c>
      <c r="L48" s="114">
        <v>1880</v>
      </c>
      <c r="M48" s="114">
        <v>1734.7425995393223</v>
      </c>
      <c r="N48" s="114">
        <v>1734.7425995393223</v>
      </c>
      <c r="O48" s="114">
        <v>1269.1289108259298</v>
      </c>
      <c r="P48" s="50">
        <v>1017.4013688713393</v>
      </c>
      <c r="Q48" s="50">
        <v>1313.1182501493913</v>
      </c>
      <c r="R48" s="114">
        <v>1313.1182501493913</v>
      </c>
      <c r="S48" s="114">
        <v>918.32440348930595</v>
      </c>
      <c r="T48" s="50">
        <v>704.88462066600857</v>
      </c>
      <c r="U48" s="207">
        <f t="shared" si="12"/>
        <v>22.9</v>
      </c>
      <c r="V48" s="150">
        <f t="shared" si="13"/>
        <v>22.9</v>
      </c>
      <c r="W48" s="108">
        <f t="shared" si="14"/>
        <v>18.2</v>
      </c>
      <c r="X48" s="109">
        <f t="shared" si="15"/>
        <v>15.7</v>
      </c>
      <c r="Y48" s="107">
        <f t="shared" si="16"/>
        <v>14.5</v>
      </c>
      <c r="Z48" s="150">
        <f t="shared" si="17"/>
        <v>14.5</v>
      </c>
      <c r="AA48" s="108">
        <f t="shared" si="18"/>
        <v>10.6</v>
      </c>
      <c r="AB48" s="109">
        <f t="shared" si="19"/>
        <v>8.5</v>
      </c>
      <c r="AC48" s="107">
        <f t="shared" si="20"/>
        <v>10.9</v>
      </c>
      <c r="AD48" s="150">
        <f t="shared" si="21"/>
        <v>10.9</v>
      </c>
      <c r="AE48" s="108">
        <f t="shared" si="22"/>
        <v>7.7</v>
      </c>
      <c r="AF48" s="109">
        <f t="shared" si="23"/>
        <v>5.9</v>
      </c>
    </row>
    <row r="49" spans="1:54" x14ac:dyDescent="0.2">
      <c r="A49" s="65" t="str">
        <f>IF(AND('様式１－２'!$C$18="☑",'様式１－２'!$C$21="□",'様式１－２'!$C$22="☑",'様式１－２'!$C$23="☑"),"★","")</f>
        <v/>
      </c>
      <c r="B49" s="106"/>
      <c r="C49" s="133"/>
      <c r="D49" s="68" t="s">
        <v>60</v>
      </c>
      <c r="E49" s="69"/>
      <c r="F49" s="69" t="s">
        <v>61</v>
      </c>
      <c r="G49" s="73" t="s">
        <v>61</v>
      </c>
      <c r="H49" s="147"/>
      <c r="I49" s="155">
        <v>2101</v>
      </c>
      <c r="J49" s="116">
        <v>2101</v>
      </c>
      <c r="K49" s="116">
        <v>1669</v>
      </c>
      <c r="L49" s="116">
        <v>1436</v>
      </c>
      <c r="M49" s="116">
        <v>1199.2045936163213</v>
      </c>
      <c r="N49" s="116">
        <v>1199.2045936163213</v>
      </c>
      <c r="O49" s="116">
        <v>843.82453438631126</v>
      </c>
      <c r="P49" s="50">
        <v>652.14964132938474</v>
      </c>
      <c r="Q49" s="50">
        <v>859.03557492727884</v>
      </c>
      <c r="R49" s="116">
        <v>859.03557492727884</v>
      </c>
      <c r="S49" s="116">
        <v>557.70882270615334</v>
      </c>
      <c r="T49" s="50">
        <v>395.18768088318529</v>
      </c>
      <c r="U49" s="207">
        <f t="shared" si="12"/>
        <v>17.5</v>
      </c>
      <c r="V49" s="150">
        <f t="shared" si="13"/>
        <v>17.5</v>
      </c>
      <c r="W49" s="108">
        <f t="shared" si="14"/>
        <v>13.9</v>
      </c>
      <c r="X49" s="109">
        <f t="shared" si="15"/>
        <v>12</v>
      </c>
      <c r="Y49" s="107">
        <f t="shared" si="16"/>
        <v>10</v>
      </c>
      <c r="Z49" s="150">
        <f t="shared" si="17"/>
        <v>10</v>
      </c>
      <c r="AA49" s="108">
        <f t="shared" si="18"/>
        <v>7</v>
      </c>
      <c r="AB49" s="109">
        <f t="shared" si="19"/>
        <v>5.4</v>
      </c>
      <c r="AC49" s="107">
        <f t="shared" si="20"/>
        <v>7.2</v>
      </c>
      <c r="AD49" s="150">
        <f t="shared" si="21"/>
        <v>7.2</v>
      </c>
      <c r="AE49" s="108">
        <f t="shared" si="22"/>
        <v>4.5999999999999996</v>
      </c>
      <c r="AF49" s="109">
        <f t="shared" si="23"/>
        <v>3.3</v>
      </c>
    </row>
    <row r="50" spans="1:54" x14ac:dyDescent="0.2">
      <c r="A50" s="65" t="str">
        <f>IF(AND('様式１－２'!$C$18="☑",'様式１－２'!$C$21="☑",'様式１－２'!$C$22="☑",'様式１－２'!$C$23="☑"),"★","")</f>
        <v/>
      </c>
      <c r="B50" s="106"/>
      <c r="C50" s="134"/>
      <c r="D50" s="68" t="s">
        <v>61</v>
      </c>
      <c r="E50" s="69" t="s">
        <v>61</v>
      </c>
      <c r="F50" s="69" t="s">
        <v>61</v>
      </c>
      <c r="G50" s="73" t="s">
        <v>61</v>
      </c>
      <c r="H50" s="154"/>
      <c r="I50" s="156">
        <v>3016</v>
      </c>
      <c r="J50" s="117">
        <v>3016</v>
      </c>
      <c r="K50" s="117">
        <v>2396</v>
      </c>
      <c r="L50" s="117">
        <v>2060</v>
      </c>
      <c r="M50" s="117">
        <v>1951.919302402106</v>
      </c>
      <c r="N50" s="117">
        <v>1951.919302402106</v>
      </c>
      <c r="O50" s="117">
        <v>1441.8831062849622</v>
      </c>
      <c r="P50" s="51">
        <v>1165.4763935505102</v>
      </c>
      <c r="Q50" s="51">
        <v>1497.2623765067458</v>
      </c>
      <c r="R50" s="117">
        <v>1497.2623765067458</v>
      </c>
      <c r="S50" s="117">
        <v>1064.8026858190194</v>
      </c>
      <c r="T50" s="51">
        <v>830.4374340914776</v>
      </c>
      <c r="U50" s="217">
        <f t="shared" si="12"/>
        <v>25.1</v>
      </c>
      <c r="V50" s="157">
        <f t="shared" si="13"/>
        <v>25.1</v>
      </c>
      <c r="W50" s="118">
        <f t="shared" si="14"/>
        <v>20</v>
      </c>
      <c r="X50" s="119">
        <f t="shared" si="15"/>
        <v>17.2</v>
      </c>
      <c r="Y50" s="107">
        <f t="shared" si="16"/>
        <v>16.3</v>
      </c>
      <c r="Z50" s="157">
        <f t="shared" si="17"/>
        <v>16.3</v>
      </c>
      <c r="AA50" s="118">
        <f t="shared" si="18"/>
        <v>12</v>
      </c>
      <c r="AB50" s="119">
        <f t="shared" si="19"/>
        <v>9.6999999999999993</v>
      </c>
      <c r="AC50" s="218">
        <f t="shared" si="20"/>
        <v>12.5</v>
      </c>
      <c r="AD50" s="157">
        <f t="shared" si="21"/>
        <v>12.5</v>
      </c>
      <c r="AE50" s="118">
        <f t="shared" si="22"/>
        <v>8.9</v>
      </c>
      <c r="AF50" s="119">
        <f t="shared" si="23"/>
        <v>6.9</v>
      </c>
      <c r="AH50" s="30"/>
      <c r="AI50" s="30"/>
      <c r="AJ50" s="30"/>
      <c r="AK50" s="30"/>
      <c r="AL50" s="30"/>
      <c r="AM50" s="30"/>
      <c r="AN50" s="30"/>
      <c r="AO50" s="30"/>
      <c r="AP50" s="30"/>
      <c r="AQ50" s="30"/>
      <c r="AR50" s="30"/>
      <c r="AS50" s="30"/>
      <c r="AT50" s="30"/>
      <c r="AU50" s="30"/>
      <c r="AV50" s="30"/>
      <c r="AW50" s="30"/>
      <c r="AX50" s="30"/>
      <c r="AY50" s="30"/>
      <c r="AZ50" s="30"/>
      <c r="BA50" s="30"/>
      <c r="BB50" s="30"/>
    </row>
    <row r="51" spans="1:54" x14ac:dyDescent="0.2">
      <c r="A51" s="65" t="str">
        <f>IF(AND('様式１－２'!$C$25="☑",'様式１－２'!$C$28="□",'様式１－２'!$C$29="□",'様式１－２'!$C$30="□"),"★","")</f>
        <v/>
      </c>
      <c r="B51" s="106" t="s">
        <v>127</v>
      </c>
      <c r="C51" s="132">
        <f>'様式１－２'!B25</f>
        <v>0</v>
      </c>
      <c r="D51" s="68" t="s">
        <v>60</v>
      </c>
      <c r="E51" s="69"/>
      <c r="F51" s="69"/>
      <c r="G51" s="73"/>
      <c r="H51" s="147"/>
      <c r="I51" s="155">
        <v>1779</v>
      </c>
      <c r="J51" s="113">
        <v>1779</v>
      </c>
      <c r="K51" s="113">
        <v>1438</v>
      </c>
      <c r="L51" s="113">
        <v>1130</v>
      </c>
      <c r="M51" s="113">
        <v>1241</v>
      </c>
      <c r="N51" s="113">
        <v>1241</v>
      </c>
      <c r="O51" s="113">
        <v>936</v>
      </c>
      <c r="P51" s="113">
        <v>1045</v>
      </c>
      <c r="Q51" s="113">
        <v>1078</v>
      </c>
      <c r="R51" s="113">
        <v>1078</v>
      </c>
      <c r="S51" s="113">
        <v>808</v>
      </c>
      <c r="T51" s="113">
        <v>920</v>
      </c>
      <c r="U51" s="206">
        <f t="shared" si="12"/>
        <v>14.8</v>
      </c>
      <c r="V51" s="150">
        <f t="shared" si="13"/>
        <v>14.8</v>
      </c>
      <c r="W51" s="108">
        <f t="shared" si="14"/>
        <v>12</v>
      </c>
      <c r="X51" s="109">
        <f t="shared" si="15"/>
        <v>9.4</v>
      </c>
      <c r="Y51" s="107">
        <f t="shared" si="16"/>
        <v>10.3</v>
      </c>
      <c r="Z51" s="150">
        <f t="shared" si="17"/>
        <v>10.3</v>
      </c>
      <c r="AA51" s="108">
        <f t="shared" si="18"/>
        <v>7.8</v>
      </c>
      <c r="AB51" s="109">
        <f t="shared" si="19"/>
        <v>8.6999999999999993</v>
      </c>
      <c r="AC51" s="107">
        <f t="shared" si="20"/>
        <v>9</v>
      </c>
      <c r="AD51" s="150">
        <f t="shared" si="21"/>
        <v>9</v>
      </c>
      <c r="AE51" s="108">
        <f t="shared" si="22"/>
        <v>6.7</v>
      </c>
      <c r="AF51" s="109">
        <f t="shared" si="23"/>
        <v>7.7</v>
      </c>
      <c r="AG51" s="30"/>
    </row>
    <row r="52" spans="1:54" x14ac:dyDescent="0.2">
      <c r="A52" s="65" t="str">
        <f>IF(AND('様式１－２'!$C$25="☑",'様式１－２'!$C$28="☑",'様式１－２'!$C$29="□",'様式１－２'!$C$30="□"),"★","")</f>
        <v/>
      </c>
      <c r="B52" s="106"/>
      <c r="C52" s="133"/>
      <c r="D52" s="68" t="s">
        <v>60</v>
      </c>
      <c r="E52" s="69" t="s">
        <v>60</v>
      </c>
      <c r="F52" s="69"/>
      <c r="G52" s="73"/>
      <c r="H52" s="147"/>
      <c r="I52" s="155">
        <v>2471</v>
      </c>
      <c r="J52" s="114">
        <v>2471</v>
      </c>
      <c r="K52" s="114">
        <v>1963</v>
      </c>
      <c r="L52" s="114">
        <v>1688</v>
      </c>
      <c r="M52" s="114">
        <v>1503.5810332346168</v>
      </c>
      <c r="N52" s="114">
        <v>1503.5810332346168</v>
      </c>
      <c r="O52" s="114">
        <v>1085.6804080289571</v>
      </c>
      <c r="P52" s="50">
        <v>859.45467588022382</v>
      </c>
      <c r="Q52" s="50">
        <v>1117.1163580796317</v>
      </c>
      <c r="R52" s="114">
        <v>1117.1163580796317</v>
      </c>
      <c r="S52" s="114">
        <v>762.77841796775272</v>
      </c>
      <c r="T52" s="50">
        <v>570.96161967884177</v>
      </c>
      <c r="U52" s="207">
        <f t="shared" si="12"/>
        <v>20.6</v>
      </c>
      <c r="V52" s="150">
        <f t="shared" si="13"/>
        <v>20.6</v>
      </c>
      <c r="W52" s="108">
        <f t="shared" si="14"/>
        <v>16.399999999999999</v>
      </c>
      <c r="X52" s="109">
        <f t="shared" si="15"/>
        <v>14.1</v>
      </c>
      <c r="Y52" s="107">
        <f t="shared" si="16"/>
        <v>12.5</v>
      </c>
      <c r="Z52" s="150">
        <f t="shared" si="17"/>
        <v>12.5</v>
      </c>
      <c r="AA52" s="108">
        <f t="shared" si="18"/>
        <v>9</v>
      </c>
      <c r="AB52" s="109">
        <f t="shared" si="19"/>
        <v>7.2</v>
      </c>
      <c r="AC52" s="107">
        <f t="shared" si="20"/>
        <v>9.3000000000000007</v>
      </c>
      <c r="AD52" s="150">
        <f t="shared" si="21"/>
        <v>9.3000000000000007</v>
      </c>
      <c r="AE52" s="108">
        <f t="shared" si="22"/>
        <v>6.4</v>
      </c>
      <c r="AF52" s="109">
        <f t="shared" si="23"/>
        <v>4.8</v>
      </c>
    </row>
    <row r="53" spans="1:54" x14ac:dyDescent="0.2">
      <c r="A53" s="65" t="str">
        <f>IF(AND('様式１－２'!$C$25="☑",'様式１－２'!$C$28="□",'様式１－２'!$C$29="☑",'様式１－２'!$C$30="□"),"★","")</f>
        <v/>
      </c>
      <c r="B53" s="106"/>
      <c r="C53" s="133"/>
      <c r="D53" s="68" t="s">
        <v>60</v>
      </c>
      <c r="E53" s="69"/>
      <c r="F53" s="69" t="s">
        <v>60</v>
      </c>
      <c r="G53" s="73"/>
      <c r="H53" s="147"/>
      <c r="I53" s="155">
        <v>1839</v>
      </c>
      <c r="J53" s="114">
        <v>1839</v>
      </c>
      <c r="K53" s="114">
        <v>1461</v>
      </c>
      <c r="L53" s="114">
        <v>1256</v>
      </c>
      <c r="M53" s="114">
        <v>983.67316880552823</v>
      </c>
      <c r="N53" s="114">
        <v>983.67316880552823</v>
      </c>
      <c r="O53" s="114">
        <v>672.71561697926961</v>
      </c>
      <c r="P53" s="50">
        <v>504.0746166502139</v>
      </c>
      <c r="Q53" s="50">
        <v>676.28647983020744</v>
      </c>
      <c r="R53" s="114">
        <v>676.28647983020744</v>
      </c>
      <c r="S53" s="114">
        <v>412.62557163672273</v>
      </c>
      <c r="T53" s="50">
        <v>269.63486745771638</v>
      </c>
      <c r="U53" s="207">
        <f t="shared" si="12"/>
        <v>15.3</v>
      </c>
      <c r="V53" s="150">
        <f t="shared" si="13"/>
        <v>15.3</v>
      </c>
      <c r="W53" s="108">
        <f t="shared" si="14"/>
        <v>12.2</v>
      </c>
      <c r="X53" s="109">
        <f t="shared" si="15"/>
        <v>10.5</v>
      </c>
      <c r="Y53" s="107">
        <f t="shared" si="16"/>
        <v>8.1999999999999993</v>
      </c>
      <c r="Z53" s="150">
        <f t="shared" si="17"/>
        <v>8.1999999999999993</v>
      </c>
      <c r="AA53" s="108">
        <f t="shared" si="18"/>
        <v>5.6</v>
      </c>
      <c r="AB53" s="109">
        <f t="shared" si="19"/>
        <v>4.2</v>
      </c>
      <c r="AC53" s="107">
        <f t="shared" si="20"/>
        <v>5.6</v>
      </c>
      <c r="AD53" s="150">
        <f t="shared" si="21"/>
        <v>5.6</v>
      </c>
      <c r="AE53" s="108">
        <f t="shared" si="22"/>
        <v>3.4</v>
      </c>
      <c r="AF53" s="109">
        <f t="shared" si="23"/>
        <v>2.2000000000000002</v>
      </c>
    </row>
    <row r="54" spans="1:54" x14ac:dyDescent="0.2">
      <c r="A54" s="65" t="str">
        <f>IF(AND('様式１－２'!$C$25="☑",'様式１－２'!$C$28="□",'様式１－２'!$C$29="□",'様式１－２'!$C$30="☑"),"★","")</f>
        <v/>
      </c>
      <c r="B54" s="106"/>
      <c r="C54" s="133"/>
      <c r="D54" s="68" t="s">
        <v>60</v>
      </c>
      <c r="E54" s="69"/>
      <c r="F54" s="69"/>
      <c r="G54" s="73" t="s">
        <v>60</v>
      </c>
      <c r="H54" s="147"/>
      <c r="I54" s="155">
        <v>1853</v>
      </c>
      <c r="J54" s="114">
        <v>1853</v>
      </c>
      <c r="K54" s="114">
        <v>1472</v>
      </c>
      <c r="L54" s="114">
        <v>1266</v>
      </c>
      <c r="M54" s="114">
        <v>995.19011516946364</v>
      </c>
      <c r="N54" s="114">
        <v>995.19011516946364</v>
      </c>
      <c r="O54" s="114">
        <v>681.76464626521886</v>
      </c>
      <c r="P54" s="50">
        <v>512.30100691016776</v>
      </c>
      <c r="Q54" s="50">
        <v>686.05169865218818</v>
      </c>
      <c r="R54" s="114">
        <v>686.05169865218818</v>
      </c>
      <c r="S54" s="114">
        <v>420.29824356827908</v>
      </c>
      <c r="T54" s="50">
        <v>276.6100237591312</v>
      </c>
      <c r="U54" s="207">
        <f t="shared" si="12"/>
        <v>15.4</v>
      </c>
      <c r="V54" s="150">
        <f t="shared" si="13"/>
        <v>15.4</v>
      </c>
      <c r="W54" s="108">
        <f t="shared" si="14"/>
        <v>12.3</v>
      </c>
      <c r="X54" s="109">
        <f t="shared" si="15"/>
        <v>10.6</v>
      </c>
      <c r="Y54" s="107">
        <f t="shared" si="16"/>
        <v>8.3000000000000007</v>
      </c>
      <c r="Z54" s="150">
        <f t="shared" si="17"/>
        <v>8.3000000000000007</v>
      </c>
      <c r="AA54" s="108">
        <f t="shared" si="18"/>
        <v>5.7</v>
      </c>
      <c r="AB54" s="109">
        <f t="shared" si="19"/>
        <v>4.3</v>
      </c>
      <c r="AC54" s="107">
        <f t="shared" si="20"/>
        <v>5.7</v>
      </c>
      <c r="AD54" s="150">
        <f t="shared" si="21"/>
        <v>5.7</v>
      </c>
      <c r="AE54" s="108">
        <f t="shared" si="22"/>
        <v>3.5</v>
      </c>
      <c r="AF54" s="109">
        <f t="shared" si="23"/>
        <v>2.2999999999999998</v>
      </c>
    </row>
    <row r="55" spans="1:54" x14ac:dyDescent="0.2">
      <c r="A55" s="65" t="str">
        <f>IF(AND('様式１－２'!$C$25="☑",'様式１－２'!$C$28="☑",'様式１－２'!$C$29="☑",'様式１－２'!$C$30="□"),"★","")</f>
        <v/>
      </c>
      <c r="B55" s="106"/>
      <c r="C55" s="133"/>
      <c r="D55" s="68" t="s">
        <v>60</v>
      </c>
      <c r="E55" s="69" t="s">
        <v>60</v>
      </c>
      <c r="F55" s="69" t="s">
        <v>60</v>
      </c>
      <c r="G55" s="73"/>
      <c r="H55" s="147"/>
      <c r="I55" s="155">
        <v>2728</v>
      </c>
      <c r="J55" s="114">
        <v>2728</v>
      </c>
      <c r="K55" s="114">
        <v>2167</v>
      </c>
      <c r="L55" s="114">
        <v>1864</v>
      </c>
      <c r="M55" s="114">
        <v>1714.9992629154326</v>
      </c>
      <c r="N55" s="114">
        <v>1714.9992629154326</v>
      </c>
      <c r="O55" s="114">
        <v>1253.4987693320172</v>
      </c>
      <c r="P55" s="50">
        <v>1004.2391444554129</v>
      </c>
      <c r="Q55" s="50">
        <v>1296.3778750259953</v>
      </c>
      <c r="R55" s="114">
        <v>1296.3778750259953</v>
      </c>
      <c r="S55" s="114">
        <v>905.07160651661729</v>
      </c>
      <c r="T55" s="50">
        <v>693.72437058374464</v>
      </c>
      <c r="U55" s="207">
        <f t="shared" si="12"/>
        <v>22.7</v>
      </c>
      <c r="V55" s="150">
        <f t="shared" si="13"/>
        <v>22.7</v>
      </c>
      <c r="W55" s="108">
        <f t="shared" si="14"/>
        <v>18.100000000000001</v>
      </c>
      <c r="X55" s="109">
        <f t="shared" si="15"/>
        <v>15.5</v>
      </c>
      <c r="Y55" s="107">
        <f t="shared" si="16"/>
        <v>14.3</v>
      </c>
      <c r="Z55" s="150">
        <f t="shared" si="17"/>
        <v>14.3</v>
      </c>
      <c r="AA55" s="108">
        <f t="shared" si="18"/>
        <v>10.4</v>
      </c>
      <c r="AB55" s="109">
        <f t="shared" si="19"/>
        <v>8.4</v>
      </c>
      <c r="AC55" s="107">
        <f t="shared" si="20"/>
        <v>10.8</v>
      </c>
      <c r="AD55" s="150">
        <f t="shared" si="21"/>
        <v>10.8</v>
      </c>
      <c r="AE55" s="108">
        <f t="shared" si="22"/>
        <v>7.5</v>
      </c>
      <c r="AF55" s="109">
        <f t="shared" si="23"/>
        <v>5.8</v>
      </c>
    </row>
    <row r="56" spans="1:54" x14ac:dyDescent="0.2">
      <c r="A56" s="65" t="str">
        <f>IF(AND('様式１－２'!$C$25="☑",'様式１－２'!$C$28="☑",'様式１－２'!$C$29="□",'様式１－２'!$C$30="☑"),"★","")</f>
        <v/>
      </c>
      <c r="B56" s="106"/>
      <c r="C56" s="133"/>
      <c r="D56" s="68" t="s">
        <v>60</v>
      </c>
      <c r="E56" s="69" t="s">
        <v>60</v>
      </c>
      <c r="F56" s="69"/>
      <c r="G56" s="73" t="s">
        <v>60</v>
      </c>
      <c r="H56" s="147"/>
      <c r="I56" s="155">
        <v>2752</v>
      </c>
      <c r="J56" s="114">
        <v>2752</v>
      </c>
      <c r="K56" s="114">
        <v>2186</v>
      </c>
      <c r="L56" s="114">
        <v>1880</v>
      </c>
      <c r="M56" s="114">
        <v>1734.7425995393223</v>
      </c>
      <c r="N56" s="114">
        <v>1734.7425995393223</v>
      </c>
      <c r="O56" s="114">
        <v>1269.1289108259298</v>
      </c>
      <c r="P56" s="50">
        <v>1017.4013688713393</v>
      </c>
      <c r="Q56" s="50">
        <v>1313.1182501493913</v>
      </c>
      <c r="R56" s="114">
        <v>1313.1182501493913</v>
      </c>
      <c r="S56" s="114">
        <v>918.32440348930595</v>
      </c>
      <c r="T56" s="50">
        <v>704.88462066600857</v>
      </c>
      <c r="U56" s="207">
        <f t="shared" si="12"/>
        <v>22.9</v>
      </c>
      <c r="V56" s="150">
        <f t="shared" si="13"/>
        <v>22.9</v>
      </c>
      <c r="W56" s="108">
        <f t="shared" si="14"/>
        <v>18.2</v>
      </c>
      <c r="X56" s="109">
        <f t="shared" si="15"/>
        <v>15.7</v>
      </c>
      <c r="Y56" s="107">
        <f t="shared" si="16"/>
        <v>14.5</v>
      </c>
      <c r="Z56" s="150">
        <f t="shared" si="17"/>
        <v>14.5</v>
      </c>
      <c r="AA56" s="108">
        <f t="shared" si="18"/>
        <v>10.6</v>
      </c>
      <c r="AB56" s="109">
        <f t="shared" si="19"/>
        <v>8.5</v>
      </c>
      <c r="AC56" s="107">
        <f t="shared" si="20"/>
        <v>10.9</v>
      </c>
      <c r="AD56" s="150">
        <f t="shared" si="21"/>
        <v>10.9</v>
      </c>
      <c r="AE56" s="108">
        <f t="shared" si="22"/>
        <v>7.7</v>
      </c>
      <c r="AF56" s="109">
        <f t="shared" si="23"/>
        <v>5.9</v>
      </c>
    </row>
    <row r="57" spans="1:54" x14ac:dyDescent="0.2">
      <c r="A57" s="65" t="str">
        <f>IF(AND('様式１－２'!$C$25="☑",'様式１－２'!$C$28="□",'様式１－２'!$C$29="☑",'様式１－２'!$C$30="☑"),"★","")</f>
        <v/>
      </c>
      <c r="B57" s="106"/>
      <c r="C57" s="133"/>
      <c r="D57" s="68" t="s">
        <v>60</v>
      </c>
      <c r="E57" s="69"/>
      <c r="F57" s="69" t="s">
        <v>60</v>
      </c>
      <c r="G57" s="73" t="s">
        <v>60</v>
      </c>
      <c r="H57" s="147"/>
      <c r="I57" s="155">
        <v>2101</v>
      </c>
      <c r="J57" s="116">
        <v>2101</v>
      </c>
      <c r="K57" s="116">
        <v>1669</v>
      </c>
      <c r="L57" s="116">
        <v>1436</v>
      </c>
      <c r="M57" s="116">
        <v>1199.2045936163213</v>
      </c>
      <c r="N57" s="116">
        <v>1199.2045936163213</v>
      </c>
      <c r="O57" s="116">
        <v>843.82453438631126</v>
      </c>
      <c r="P57" s="50">
        <v>652.14964132938474</v>
      </c>
      <c r="Q57" s="50">
        <v>859.03557492727884</v>
      </c>
      <c r="R57" s="116">
        <v>859.03557492727884</v>
      </c>
      <c r="S57" s="116">
        <v>557.70882270615334</v>
      </c>
      <c r="T57" s="50">
        <v>395.18768088318529</v>
      </c>
      <c r="U57" s="207">
        <f t="shared" si="12"/>
        <v>17.5</v>
      </c>
      <c r="V57" s="150">
        <f t="shared" si="13"/>
        <v>17.5</v>
      </c>
      <c r="W57" s="108">
        <f t="shared" si="14"/>
        <v>13.9</v>
      </c>
      <c r="X57" s="109">
        <f t="shared" si="15"/>
        <v>12</v>
      </c>
      <c r="Y57" s="107">
        <f t="shared" si="16"/>
        <v>10</v>
      </c>
      <c r="Z57" s="150">
        <f t="shared" si="17"/>
        <v>10</v>
      </c>
      <c r="AA57" s="108">
        <f t="shared" si="18"/>
        <v>7</v>
      </c>
      <c r="AB57" s="109">
        <f t="shared" si="19"/>
        <v>5.4</v>
      </c>
      <c r="AC57" s="107">
        <f t="shared" si="20"/>
        <v>7.2</v>
      </c>
      <c r="AD57" s="150">
        <f t="shared" si="21"/>
        <v>7.2</v>
      </c>
      <c r="AE57" s="108">
        <f t="shared" si="22"/>
        <v>4.5999999999999996</v>
      </c>
      <c r="AF57" s="109">
        <f t="shared" si="23"/>
        <v>3.3</v>
      </c>
    </row>
    <row r="58" spans="1:54" x14ac:dyDescent="0.2">
      <c r="A58" s="65" t="str">
        <f>IF(AND('様式１－２'!$C$25="☑",'様式１－２'!$C$28="☑",'様式１－２'!$C$29="☑",'様式１－２'!$C$30="☑"),"★","")</f>
        <v/>
      </c>
      <c r="B58" s="106"/>
      <c r="C58" s="134"/>
      <c r="D58" s="68" t="s">
        <v>60</v>
      </c>
      <c r="E58" s="69" t="s">
        <v>60</v>
      </c>
      <c r="F58" s="69" t="s">
        <v>60</v>
      </c>
      <c r="G58" s="73" t="s">
        <v>60</v>
      </c>
      <c r="H58" s="154"/>
      <c r="I58" s="156">
        <v>3016</v>
      </c>
      <c r="J58" s="117">
        <v>3016</v>
      </c>
      <c r="K58" s="117">
        <v>2396</v>
      </c>
      <c r="L58" s="117">
        <v>2060</v>
      </c>
      <c r="M58" s="117">
        <v>1951.919302402106</v>
      </c>
      <c r="N58" s="117">
        <v>1951.919302402106</v>
      </c>
      <c r="O58" s="117">
        <v>1441.8831062849622</v>
      </c>
      <c r="P58" s="51">
        <v>1165.4763935505102</v>
      </c>
      <c r="Q58" s="51">
        <v>1497.2623765067458</v>
      </c>
      <c r="R58" s="117">
        <v>1497.2623765067458</v>
      </c>
      <c r="S58" s="117">
        <v>1064.8026858190194</v>
      </c>
      <c r="T58" s="51">
        <v>830.4374340914776</v>
      </c>
      <c r="U58" s="217">
        <f t="shared" si="12"/>
        <v>25.1</v>
      </c>
      <c r="V58" s="157">
        <f t="shared" si="13"/>
        <v>25.1</v>
      </c>
      <c r="W58" s="118">
        <f t="shared" si="14"/>
        <v>20</v>
      </c>
      <c r="X58" s="119">
        <f t="shared" si="15"/>
        <v>17.2</v>
      </c>
      <c r="Y58" s="218">
        <f t="shared" si="16"/>
        <v>16.3</v>
      </c>
      <c r="Z58" s="157">
        <f t="shared" si="17"/>
        <v>16.3</v>
      </c>
      <c r="AA58" s="118">
        <f t="shared" si="18"/>
        <v>12</v>
      </c>
      <c r="AB58" s="119">
        <f t="shared" si="19"/>
        <v>9.6999999999999993</v>
      </c>
      <c r="AC58" s="218">
        <f t="shared" si="20"/>
        <v>12.5</v>
      </c>
      <c r="AD58" s="157">
        <f t="shared" si="21"/>
        <v>12.5</v>
      </c>
      <c r="AE58" s="118">
        <f t="shared" si="22"/>
        <v>8.9</v>
      </c>
      <c r="AF58" s="119">
        <f t="shared" si="23"/>
        <v>6.9</v>
      </c>
    </row>
    <row r="59" spans="1:54" x14ac:dyDescent="0.2">
      <c r="A59" s="65" t="str">
        <f>IF(AND('様式１－２'!$C$32="☑",'様式１－２'!$C$35="□",'様式１－２'!$C$36="□",'様式１－２'!$C$37="□"),"★","")</f>
        <v/>
      </c>
      <c r="B59" s="106" t="s">
        <v>128</v>
      </c>
      <c r="C59" s="132">
        <f>'様式１－２'!B32</f>
        <v>0</v>
      </c>
      <c r="D59" s="68" t="s">
        <v>60</v>
      </c>
      <c r="E59" s="69"/>
      <c r="F59" s="69"/>
      <c r="G59" s="73"/>
      <c r="H59" s="147"/>
      <c r="I59" s="155">
        <v>1779</v>
      </c>
      <c r="J59" s="113">
        <v>1779</v>
      </c>
      <c r="K59" s="113">
        <v>1438</v>
      </c>
      <c r="L59" s="113">
        <v>1130</v>
      </c>
      <c r="M59" s="113">
        <v>1241</v>
      </c>
      <c r="N59" s="113">
        <v>1241</v>
      </c>
      <c r="O59" s="113">
        <v>936</v>
      </c>
      <c r="P59" s="113">
        <v>1045</v>
      </c>
      <c r="Q59" s="113">
        <v>1078</v>
      </c>
      <c r="R59" s="113">
        <v>1078</v>
      </c>
      <c r="S59" s="113">
        <v>808</v>
      </c>
      <c r="T59" s="113">
        <v>920</v>
      </c>
      <c r="U59" s="206">
        <f t="shared" si="12"/>
        <v>14.8</v>
      </c>
      <c r="V59" s="150">
        <f t="shared" si="13"/>
        <v>14.8</v>
      </c>
      <c r="W59" s="108">
        <f t="shared" si="14"/>
        <v>12</v>
      </c>
      <c r="X59" s="109">
        <f t="shared" si="15"/>
        <v>9.4</v>
      </c>
      <c r="Y59" s="107">
        <f t="shared" si="16"/>
        <v>10.3</v>
      </c>
      <c r="Z59" s="150">
        <f t="shared" si="17"/>
        <v>10.3</v>
      </c>
      <c r="AA59" s="108">
        <f t="shared" si="18"/>
        <v>7.8</v>
      </c>
      <c r="AB59" s="109">
        <f t="shared" si="19"/>
        <v>8.6999999999999993</v>
      </c>
      <c r="AC59" s="107">
        <f t="shared" si="20"/>
        <v>9</v>
      </c>
      <c r="AD59" s="150">
        <f t="shared" si="21"/>
        <v>9</v>
      </c>
      <c r="AE59" s="108">
        <f t="shared" si="22"/>
        <v>6.7</v>
      </c>
      <c r="AF59" s="109">
        <f t="shared" si="23"/>
        <v>7.7</v>
      </c>
    </row>
    <row r="60" spans="1:54" x14ac:dyDescent="0.2">
      <c r="A60" s="65" t="str">
        <f>IF(AND('様式１－２'!$C$32="☑",'様式１－２'!$C$35="☑",'様式１－２'!$C$36="□",'様式１－２'!$C$37="□"),"★","")</f>
        <v/>
      </c>
      <c r="B60" s="106"/>
      <c r="C60" s="133"/>
      <c r="D60" s="68" t="s">
        <v>60</v>
      </c>
      <c r="E60" s="69" t="s">
        <v>60</v>
      </c>
      <c r="F60" s="69"/>
      <c r="G60" s="73"/>
      <c r="H60" s="147"/>
      <c r="I60" s="155">
        <v>2471</v>
      </c>
      <c r="J60" s="114">
        <v>2471</v>
      </c>
      <c r="K60" s="114">
        <v>1963</v>
      </c>
      <c r="L60" s="114">
        <v>1688</v>
      </c>
      <c r="M60" s="114">
        <v>1503.5810332346168</v>
      </c>
      <c r="N60" s="114">
        <v>1503.5810332346168</v>
      </c>
      <c r="O60" s="114">
        <v>1085.6804080289571</v>
      </c>
      <c r="P60" s="50">
        <v>859.45467588022382</v>
      </c>
      <c r="Q60" s="50">
        <v>1117.1163580796317</v>
      </c>
      <c r="R60" s="114">
        <v>1117.1163580796317</v>
      </c>
      <c r="S60" s="114">
        <v>762.77841796775272</v>
      </c>
      <c r="T60" s="50">
        <v>570.96161967884177</v>
      </c>
      <c r="U60" s="207">
        <f t="shared" si="12"/>
        <v>20.6</v>
      </c>
      <c r="V60" s="150">
        <f t="shared" si="13"/>
        <v>20.6</v>
      </c>
      <c r="W60" s="108">
        <f t="shared" si="14"/>
        <v>16.399999999999999</v>
      </c>
      <c r="X60" s="109">
        <f t="shared" si="15"/>
        <v>14.1</v>
      </c>
      <c r="Y60" s="107">
        <f t="shared" si="16"/>
        <v>12.5</v>
      </c>
      <c r="Z60" s="150">
        <f t="shared" si="17"/>
        <v>12.5</v>
      </c>
      <c r="AA60" s="108">
        <f t="shared" si="18"/>
        <v>9</v>
      </c>
      <c r="AB60" s="109">
        <f t="shared" si="19"/>
        <v>7.2</v>
      </c>
      <c r="AC60" s="107">
        <f t="shared" si="20"/>
        <v>9.3000000000000007</v>
      </c>
      <c r="AD60" s="150">
        <f t="shared" si="21"/>
        <v>9.3000000000000007</v>
      </c>
      <c r="AE60" s="108">
        <f t="shared" si="22"/>
        <v>6.4</v>
      </c>
      <c r="AF60" s="109">
        <f t="shared" si="23"/>
        <v>4.8</v>
      </c>
    </row>
    <row r="61" spans="1:54" x14ac:dyDescent="0.2">
      <c r="A61" s="65" t="str">
        <f>IF(AND('様式１－２'!$C$32="☑",'様式１－２'!$C$35="□",'様式１－２'!$C$36="☑",'様式１－２'!$C$37="□"),"★","")</f>
        <v/>
      </c>
      <c r="B61" s="106"/>
      <c r="C61" s="133"/>
      <c r="D61" s="68" t="s">
        <v>60</v>
      </c>
      <c r="E61" s="69"/>
      <c r="F61" s="69" t="s">
        <v>60</v>
      </c>
      <c r="G61" s="73"/>
      <c r="H61" s="155"/>
      <c r="I61" s="72">
        <v>1839</v>
      </c>
      <c r="J61" s="114">
        <v>1839</v>
      </c>
      <c r="K61" s="114">
        <v>1461</v>
      </c>
      <c r="L61" s="114">
        <v>1256</v>
      </c>
      <c r="M61" s="114">
        <v>983.67316880552823</v>
      </c>
      <c r="N61" s="114">
        <v>983.67316880552823</v>
      </c>
      <c r="O61" s="114">
        <v>672.71561697926961</v>
      </c>
      <c r="P61" s="50">
        <v>504.0746166502139</v>
      </c>
      <c r="Q61" s="50">
        <v>676.28647983020744</v>
      </c>
      <c r="R61" s="114">
        <v>676.28647983020744</v>
      </c>
      <c r="S61" s="114">
        <v>412.62557163672273</v>
      </c>
      <c r="T61" s="50">
        <v>269.63486745771638</v>
      </c>
      <c r="U61" s="207">
        <f t="shared" si="12"/>
        <v>15.3</v>
      </c>
      <c r="V61" s="150">
        <f t="shared" si="13"/>
        <v>15.3</v>
      </c>
      <c r="W61" s="108">
        <f t="shared" si="14"/>
        <v>12.2</v>
      </c>
      <c r="X61" s="109">
        <f t="shared" si="15"/>
        <v>10.5</v>
      </c>
      <c r="Y61" s="107">
        <f t="shared" si="16"/>
        <v>8.1999999999999993</v>
      </c>
      <c r="Z61" s="150">
        <f t="shared" si="17"/>
        <v>8.1999999999999993</v>
      </c>
      <c r="AA61" s="108">
        <f t="shared" si="18"/>
        <v>5.6</v>
      </c>
      <c r="AB61" s="109">
        <f t="shared" si="19"/>
        <v>4.2</v>
      </c>
      <c r="AC61" s="107">
        <f t="shared" si="20"/>
        <v>5.6</v>
      </c>
      <c r="AD61" s="150">
        <f t="shared" si="21"/>
        <v>5.6</v>
      </c>
      <c r="AE61" s="108">
        <f t="shared" si="22"/>
        <v>3.4</v>
      </c>
      <c r="AF61" s="109">
        <f t="shared" si="23"/>
        <v>2.2000000000000002</v>
      </c>
    </row>
    <row r="62" spans="1:54" x14ac:dyDescent="0.2">
      <c r="A62" s="65" t="str">
        <f>IF(AND('様式１－２'!$C$32="☑",'様式１－２'!$C$35="□",'様式１－２'!$C$36="□",'様式１－２'!$C$37="☑"),"★","")</f>
        <v/>
      </c>
      <c r="B62" s="106"/>
      <c r="C62" s="133"/>
      <c r="D62" s="68" t="s">
        <v>60</v>
      </c>
      <c r="E62" s="69"/>
      <c r="F62" s="69"/>
      <c r="G62" s="73" t="s">
        <v>60</v>
      </c>
      <c r="H62" s="155"/>
      <c r="I62" s="72">
        <v>1853</v>
      </c>
      <c r="J62" s="114">
        <v>1853</v>
      </c>
      <c r="K62" s="114">
        <v>1472</v>
      </c>
      <c r="L62" s="114">
        <v>1266</v>
      </c>
      <c r="M62" s="114">
        <v>995.19011516946364</v>
      </c>
      <c r="N62" s="114">
        <v>995.19011516946364</v>
      </c>
      <c r="O62" s="114">
        <v>681.76464626521886</v>
      </c>
      <c r="P62" s="50">
        <v>512.30100691016776</v>
      </c>
      <c r="Q62" s="50">
        <v>686.05169865218818</v>
      </c>
      <c r="R62" s="114">
        <v>686.05169865218818</v>
      </c>
      <c r="S62" s="114">
        <v>420.29824356827908</v>
      </c>
      <c r="T62" s="50">
        <v>276.6100237591312</v>
      </c>
      <c r="U62" s="207">
        <f t="shared" si="12"/>
        <v>15.4</v>
      </c>
      <c r="V62" s="150">
        <f t="shared" si="13"/>
        <v>15.4</v>
      </c>
      <c r="W62" s="108">
        <f t="shared" si="14"/>
        <v>12.3</v>
      </c>
      <c r="X62" s="109">
        <f t="shared" si="15"/>
        <v>10.6</v>
      </c>
      <c r="Y62" s="107">
        <f t="shared" si="16"/>
        <v>8.3000000000000007</v>
      </c>
      <c r="Z62" s="150">
        <f t="shared" si="17"/>
        <v>8.3000000000000007</v>
      </c>
      <c r="AA62" s="108">
        <f t="shared" si="18"/>
        <v>5.7</v>
      </c>
      <c r="AB62" s="109">
        <f t="shared" si="19"/>
        <v>4.3</v>
      </c>
      <c r="AC62" s="107">
        <f t="shared" si="20"/>
        <v>5.7</v>
      </c>
      <c r="AD62" s="150">
        <f t="shared" si="21"/>
        <v>5.7</v>
      </c>
      <c r="AE62" s="108">
        <f t="shared" si="22"/>
        <v>3.5</v>
      </c>
      <c r="AF62" s="109">
        <f t="shared" si="23"/>
        <v>2.2999999999999998</v>
      </c>
    </row>
    <row r="63" spans="1:54" x14ac:dyDescent="0.2">
      <c r="A63" s="65" t="str">
        <f>IF(AND('様式１－２'!$C$32="☑",'様式１－２'!$C$35="☑",'様式１－２'!$C$36="☑",'様式１－２'!$C$37="□"),"★","")</f>
        <v/>
      </c>
      <c r="B63" s="106"/>
      <c r="C63" s="133"/>
      <c r="D63" s="68" t="s">
        <v>60</v>
      </c>
      <c r="E63" s="69" t="s">
        <v>60</v>
      </c>
      <c r="F63" s="69" t="s">
        <v>60</v>
      </c>
      <c r="G63" s="73"/>
      <c r="H63" s="155"/>
      <c r="I63" s="72">
        <v>2728</v>
      </c>
      <c r="J63" s="114">
        <v>2728</v>
      </c>
      <c r="K63" s="114">
        <v>2167</v>
      </c>
      <c r="L63" s="114">
        <v>1864</v>
      </c>
      <c r="M63" s="114">
        <v>1714.9992629154326</v>
      </c>
      <c r="N63" s="114">
        <v>1714.9992629154326</v>
      </c>
      <c r="O63" s="114">
        <v>1253.4987693320172</v>
      </c>
      <c r="P63" s="50">
        <v>1004.2391444554129</v>
      </c>
      <c r="Q63" s="50">
        <v>1296.3778750259953</v>
      </c>
      <c r="R63" s="114">
        <v>1296.3778750259953</v>
      </c>
      <c r="S63" s="114">
        <v>905.07160651661729</v>
      </c>
      <c r="T63" s="50">
        <v>693.72437058374464</v>
      </c>
      <c r="U63" s="207">
        <f t="shared" si="12"/>
        <v>22.7</v>
      </c>
      <c r="V63" s="150">
        <f t="shared" si="13"/>
        <v>22.7</v>
      </c>
      <c r="W63" s="108">
        <f t="shared" si="14"/>
        <v>18.100000000000001</v>
      </c>
      <c r="X63" s="109">
        <f t="shared" si="15"/>
        <v>15.5</v>
      </c>
      <c r="Y63" s="107">
        <f t="shared" si="16"/>
        <v>14.3</v>
      </c>
      <c r="Z63" s="150">
        <f t="shared" si="17"/>
        <v>14.3</v>
      </c>
      <c r="AA63" s="108">
        <f t="shared" si="18"/>
        <v>10.4</v>
      </c>
      <c r="AB63" s="109">
        <f t="shared" si="19"/>
        <v>8.4</v>
      </c>
      <c r="AC63" s="107">
        <f t="shared" si="20"/>
        <v>10.8</v>
      </c>
      <c r="AD63" s="150">
        <f t="shared" si="21"/>
        <v>10.8</v>
      </c>
      <c r="AE63" s="108">
        <f t="shared" si="22"/>
        <v>7.5</v>
      </c>
      <c r="AF63" s="109">
        <f t="shared" si="23"/>
        <v>5.8</v>
      </c>
    </row>
    <row r="64" spans="1:54" x14ac:dyDescent="0.2">
      <c r="A64" s="65" t="str">
        <f>IF(AND('様式１－２'!$C$32="☑",'様式１－２'!$C$35="☑",'様式１－２'!$C$36="□",'様式１－２'!$C$37="☑"),"★","")</f>
        <v/>
      </c>
      <c r="B64" s="106"/>
      <c r="C64" s="133"/>
      <c r="D64" s="68" t="s">
        <v>60</v>
      </c>
      <c r="E64" s="69" t="s">
        <v>60</v>
      </c>
      <c r="F64" s="69"/>
      <c r="G64" s="73" t="s">
        <v>60</v>
      </c>
      <c r="H64" s="155"/>
      <c r="I64" s="72">
        <v>2752</v>
      </c>
      <c r="J64" s="114">
        <v>2752</v>
      </c>
      <c r="K64" s="114">
        <v>2186</v>
      </c>
      <c r="L64" s="114">
        <v>1880</v>
      </c>
      <c r="M64" s="114">
        <v>1734.7425995393223</v>
      </c>
      <c r="N64" s="114">
        <v>1734.7425995393223</v>
      </c>
      <c r="O64" s="114">
        <v>1269.1289108259298</v>
      </c>
      <c r="P64" s="50">
        <v>1017.4013688713393</v>
      </c>
      <c r="Q64" s="50">
        <v>1313.1182501493913</v>
      </c>
      <c r="R64" s="114">
        <v>1313.1182501493913</v>
      </c>
      <c r="S64" s="114">
        <v>918.32440348930595</v>
      </c>
      <c r="T64" s="50">
        <v>704.88462066600857</v>
      </c>
      <c r="U64" s="207">
        <f t="shared" si="12"/>
        <v>22.9</v>
      </c>
      <c r="V64" s="150">
        <f t="shared" si="13"/>
        <v>22.9</v>
      </c>
      <c r="W64" s="108">
        <f t="shared" si="14"/>
        <v>18.2</v>
      </c>
      <c r="X64" s="109">
        <f t="shared" si="15"/>
        <v>15.7</v>
      </c>
      <c r="Y64" s="107">
        <f t="shared" si="16"/>
        <v>14.5</v>
      </c>
      <c r="Z64" s="150">
        <f t="shared" si="17"/>
        <v>14.5</v>
      </c>
      <c r="AA64" s="108">
        <f t="shared" si="18"/>
        <v>10.6</v>
      </c>
      <c r="AB64" s="109">
        <f t="shared" si="19"/>
        <v>8.5</v>
      </c>
      <c r="AC64" s="107">
        <f t="shared" si="20"/>
        <v>10.9</v>
      </c>
      <c r="AD64" s="150">
        <f t="shared" si="21"/>
        <v>10.9</v>
      </c>
      <c r="AE64" s="108">
        <f t="shared" si="22"/>
        <v>7.7</v>
      </c>
      <c r="AF64" s="109">
        <f t="shared" si="23"/>
        <v>5.9</v>
      </c>
    </row>
    <row r="65" spans="1:32" x14ac:dyDescent="0.2">
      <c r="A65" s="65" t="str">
        <f>IF(AND('様式１－２'!$C$32="☑",'様式１－２'!$C$35="□",'様式１－２'!$C$36="☑",'様式１－２'!$C$37="☑"),"★","")</f>
        <v/>
      </c>
      <c r="B65" s="106"/>
      <c r="C65" s="133"/>
      <c r="D65" s="68" t="s">
        <v>60</v>
      </c>
      <c r="E65" s="69"/>
      <c r="F65" s="69" t="s">
        <v>60</v>
      </c>
      <c r="G65" s="73" t="s">
        <v>60</v>
      </c>
      <c r="H65" s="155"/>
      <c r="I65" s="72">
        <v>2101</v>
      </c>
      <c r="J65" s="116">
        <v>2101</v>
      </c>
      <c r="K65" s="116">
        <v>1669</v>
      </c>
      <c r="L65" s="116">
        <v>1436</v>
      </c>
      <c r="M65" s="116">
        <v>1199.2045936163213</v>
      </c>
      <c r="N65" s="116">
        <v>1199.2045936163213</v>
      </c>
      <c r="O65" s="116">
        <v>843.82453438631126</v>
      </c>
      <c r="P65" s="50">
        <v>652.14964132938474</v>
      </c>
      <c r="Q65" s="50">
        <v>859.03557492727884</v>
      </c>
      <c r="R65" s="116">
        <v>859.03557492727884</v>
      </c>
      <c r="S65" s="116">
        <v>557.70882270615334</v>
      </c>
      <c r="T65" s="50">
        <v>395.18768088318529</v>
      </c>
      <c r="U65" s="207">
        <f t="shared" si="12"/>
        <v>17.5</v>
      </c>
      <c r="V65" s="150">
        <f t="shared" si="13"/>
        <v>17.5</v>
      </c>
      <c r="W65" s="108">
        <f t="shared" si="14"/>
        <v>13.9</v>
      </c>
      <c r="X65" s="109">
        <f t="shared" si="15"/>
        <v>12</v>
      </c>
      <c r="Y65" s="107">
        <f t="shared" si="16"/>
        <v>10</v>
      </c>
      <c r="Z65" s="150">
        <f t="shared" si="17"/>
        <v>10</v>
      </c>
      <c r="AA65" s="108">
        <f t="shared" si="18"/>
        <v>7</v>
      </c>
      <c r="AB65" s="109">
        <f t="shared" si="19"/>
        <v>5.4</v>
      </c>
      <c r="AC65" s="107">
        <f t="shared" si="20"/>
        <v>7.2</v>
      </c>
      <c r="AD65" s="150">
        <f t="shared" si="21"/>
        <v>7.2</v>
      </c>
      <c r="AE65" s="108">
        <f t="shared" si="22"/>
        <v>4.5999999999999996</v>
      </c>
      <c r="AF65" s="109">
        <f t="shared" si="23"/>
        <v>3.3</v>
      </c>
    </row>
    <row r="66" spans="1:32" x14ac:dyDescent="0.2">
      <c r="A66" s="65" t="str">
        <f>IF(AND('様式１－２'!$C$32="☑",'様式１－２'!$C$35="☑",'様式１－２'!$C$36="☑",'様式１－２'!$C$37="☑"),"★","")</f>
        <v/>
      </c>
      <c r="B66" s="106"/>
      <c r="C66" s="134"/>
      <c r="D66" s="68" t="s">
        <v>60</v>
      </c>
      <c r="E66" s="69" t="s">
        <v>60</v>
      </c>
      <c r="F66" s="69" t="s">
        <v>60</v>
      </c>
      <c r="G66" s="73" t="s">
        <v>60</v>
      </c>
      <c r="H66" s="156"/>
      <c r="I66" s="219">
        <v>3016</v>
      </c>
      <c r="J66" s="117">
        <v>3016</v>
      </c>
      <c r="K66" s="117">
        <v>2396</v>
      </c>
      <c r="L66" s="117">
        <v>2060</v>
      </c>
      <c r="M66" s="117">
        <v>1951.919302402106</v>
      </c>
      <c r="N66" s="117">
        <v>1951.919302402106</v>
      </c>
      <c r="O66" s="117">
        <v>1441.8831062849622</v>
      </c>
      <c r="P66" s="51">
        <v>1165.4763935505102</v>
      </c>
      <c r="Q66" s="51">
        <v>1497.2623765067458</v>
      </c>
      <c r="R66" s="117">
        <v>1497.2623765067458</v>
      </c>
      <c r="S66" s="117">
        <v>1064.8026858190194</v>
      </c>
      <c r="T66" s="51">
        <v>830.4374340914776</v>
      </c>
      <c r="U66" s="217">
        <f t="shared" si="12"/>
        <v>25.1</v>
      </c>
      <c r="V66" s="157">
        <f t="shared" si="13"/>
        <v>25.1</v>
      </c>
      <c r="W66" s="118">
        <f t="shared" si="14"/>
        <v>20</v>
      </c>
      <c r="X66" s="119">
        <f t="shared" si="15"/>
        <v>17.2</v>
      </c>
      <c r="Y66" s="218">
        <f t="shared" si="16"/>
        <v>16.3</v>
      </c>
      <c r="Z66" s="157">
        <f t="shared" si="17"/>
        <v>16.3</v>
      </c>
      <c r="AA66" s="118">
        <f t="shared" si="18"/>
        <v>12</v>
      </c>
      <c r="AB66" s="119">
        <f t="shared" si="19"/>
        <v>9.6999999999999993</v>
      </c>
      <c r="AC66" s="107">
        <f t="shared" si="20"/>
        <v>12.5</v>
      </c>
      <c r="AD66" s="157">
        <f t="shared" si="21"/>
        <v>12.5</v>
      </c>
      <c r="AE66" s="118">
        <f t="shared" si="22"/>
        <v>8.9</v>
      </c>
      <c r="AF66" s="119">
        <f t="shared" si="23"/>
        <v>6.9</v>
      </c>
    </row>
    <row r="67" spans="1:32" x14ac:dyDescent="0.2">
      <c r="A67" s="65" t="str">
        <f>IF(AND('様式１－２'!$C$39="☑",'様式１－２'!$C$42="□",'様式１－２'!$C$43="□",'様式１－２'!$C$44="□"),"★","")</f>
        <v/>
      </c>
      <c r="B67" s="106" t="s">
        <v>129</v>
      </c>
      <c r="C67" s="132">
        <f>'様式１－２'!B39</f>
        <v>0</v>
      </c>
      <c r="D67" s="68" t="s">
        <v>60</v>
      </c>
      <c r="E67" s="69"/>
      <c r="F67" s="69"/>
      <c r="G67" s="73"/>
      <c r="H67" s="155"/>
      <c r="I67" s="72">
        <v>1779</v>
      </c>
      <c r="J67" s="113">
        <v>1779</v>
      </c>
      <c r="K67" s="113">
        <v>1438</v>
      </c>
      <c r="L67" s="113">
        <v>1130</v>
      </c>
      <c r="M67" s="113">
        <v>1241</v>
      </c>
      <c r="N67" s="113">
        <v>1241</v>
      </c>
      <c r="O67" s="113">
        <v>936</v>
      </c>
      <c r="P67" s="113">
        <v>1045</v>
      </c>
      <c r="Q67" s="113">
        <v>1078</v>
      </c>
      <c r="R67" s="113">
        <v>1078</v>
      </c>
      <c r="S67" s="113">
        <v>808</v>
      </c>
      <c r="T67" s="113">
        <v>920</v>
      </c>
      <c r="U67" s="206">
        <f t="shared" si="12"/>
        <v>14.8</v>
      </c>
      <c r="V67" s="150">
        <f t="shared" si="13"/>
        <v>14.8</v>
      </c>
      <c r="W67" s="108">
        <f t="shared" si="14"/>
        <v>12</v>
      </c>
      <c r="X67" s="109">
        <f t="shared" si="15"/>
        <v>9.4</v>
      </c>
      <c r="Y67" s="107">
        <f t="shared" si="16"/>
        <v>10.3</v>
      </c>
      <c r="Z67" s="150">
        <f t="shared" si="17"/>
        <v>10.3</v>
      </c>
      <c r="AA67" s="108">
        <f t="shared" si="18"/>
        <v>7.8</v>
      </c>
      <c r="AB67" s="109">
        <f t="shared" si="19"/>
        <v>8.6999999999999993</v>
      </c>
      <c r="AC67" s="107">
        <f t="shared" si="20"/>
        <v>9</v>
      </c>
      <c r="AD67" s="150">
        <f t="shared" si="21"/>
        <v>9</v>
      </c>
      <c r="AE67" s="108">
        <f t="shared" si="22"/>
        <v>6.7</v>
      </c>
      <c r="AF67" s="109">
        <f t="shared" si="23"/>
        <v>7.7</v>
      </c>
    </row>
    <row r="68" spans="1:32" x14ac:dyDescent="0.2">
      <c r="A68" s="65" t="str">
        <f>IF(AND('様式１－２'!$C$39="☑",'様式１－２'!$C$42="☑",'様式１－２'!$C$43="□",'様式１－２'!$C$44="□"),"★","")</f>
        <v/>
      </c>
      <c r="B68" s="106"/>
      <c r="C68" s="133"/>
      <c r="D68" s="68" t="s">
        <v>60</v>
      </c>
      <c r="E68" s="69" t="s">
        <v>60</v>
      </c>
      <c r="F68" s="69"/>
      <c r="G68" s="73"/>
      <c r="H68" s="155"/>
      <c r="I68" s="72">
        <v>2471</v>
      </c>
      <c r="J68" s="114">
        <v>2471</v>
      </c>
      <c r="K68" s="114">
        <v>1963</v>
      </c>
      <c r="L68" s="114">
        <v>1688</v>
      </c>
      <c r="M68" s="114">
        <v>1503.5810332346168</v>
      </c>
      <c r="N68" s="114">
        <v>1503.5810332346168</v>
      </c>
      <c r="O68" s="114">
        <v>1085.6804080289571</v>
      </c>
      <c r="P68" s="50">
        <v>859.45467588022382</v>
      </c>
      <c r="Q68" s="50">
        <v>1117.1163580796317</v>
      </c>
      <c r="R68" s="114">
        <v>1117.1163580796317</v>
      </c>
      <c r="S68" s="114">
        <v>762.77841796775272</v>
      </c>
      <c r="T68" s="50">
        <v>570.96161967884177</v>
      </c>
      <c r="U68" s="207">
        <f t="shared" si="12"/>
        <v>20.6</v>
      </c>
      <c r="V68" s="150">
        <f t="shared" si="13"/>
        <v>20.6</v>
      </c>
      <c r="W68" s="108">
        <f t="shared" si="14"/>
        <v>16.399999999999999</v>
      </c>
      <c r="X68" s="109">
        <f t="shared" si="15"/>
        <v>14.1</v>
      </c>
      <c r="Y68" s="107">
        <f t="shared" si="16"/>
        <v>12.5</v>
      </c>
      <c r="Z68" s="150">
        <f t="shared" si="17"/>
        <v>12.5</v>
      </c>
      <c r="AA68" s="108">
        <f t="shared" si="18"/>
        <v>9</v>
      </c>
      <c r="AB68" s="109">
        <f t="shared" si="19"/>
        <v>7.2</v>
      </c>
      <c r="AC68" s="107">
        <f t="shared" si="20"/>
        <v>9.3000000000000007</v>
      </c>
      <c r="AD68" s="150">
        <f t="shared" si="21"/>
        <v>9.3000000000000007</v>
      </c>
      <c r="AE68" s="108">
        <f t="shared" si="22"/>
        <v>6.4</v>
      </c>
      <c r="AF68" s="109">
        <f t="shared" si="23"/>
        <v>4.8</v>
      </c>
    </row>
    <row r="69" spans="1:32" x14ac:dyDescent="0.2">
      <c r="A69" s="65" t="str">
        <f>IF(AND('様式１－２'!$C$39="☑",'様式１－２'!$C$42="□",'様式１－２'!$C$43="☑",'様式１－２'!$C$44="□"),"★","")</f>
        <v/>
      </c>
      <c r="B69" s="106"/>
      <c r="C69" s="133"/>
      <c r="D69" s="68" t="s">
        <v>60</v>
      </c>
      <c r="E69" s="69"/>
      <c r="F69" s="69" t="s">
        <v>60</v>
      </c>
      <c r="G69" s="73"/>
      <c r="H69" s="155"/>
      <c r="I69" s="72">
        <v>1839</v>
      </c>
      <c r="J69" s="114">
        <v>1839</v>
      </c>
      <c r="K69" s="114">
        <v>1461</v>
      </c>
      <c r="L69" s="114">
        <v>1256</v>
      </c>
      <c r="M69" s="114">
        <v>983.67316880552823</v>
      </c>
      <c r="N69" s="114">
        <v>983.67316880552823</v>
      </c>
      <c r="O69" s="114">
        <v>672.71561697926961</v>
      </c>
      <c r="P69" s="50">
        <v>504.0746166502139</v>
      </c>
      <c r="Q69" s="50">
        <v>676.28647983020744</v>
      </c>
      <c r="R69" s="114">
        <v>676.28647983020744</v>
      </c>
      <c r="S69" s="114">
        <v>412.62557163672273</v>
      </c>
      <c r="T69" s="50">
        <v>269.63486745771638</v>
      </c>
      <c r="U69" s="207">
        <f t="shared" si="12"/>
        <v>15.3</v>
      </c>
      <c r="V69" s="150">
        <f t="shared" si="13"/>
        <v>15.3</v>
      </c>
      <c r="W69" s="108">
        <f t="shared" si="14"/>
        <v>12.2</v>
      </c>
      <c r="X69" s="109">
        <f t="shared" si="15"/>
        <v>10.5</v>
      </c>
      <c r="Y69" s="107">
        <f t="shared" si="16"/>
        <v>8.1999999999999993</v>
      </c>
      <c r="Z69" s="150">
        <f t="shared" si="17"/>
        <v>8.1999999999999993</v>
      </c>
      <c r="AA69" s="108">
        <f t="shared" si="18"/>
        <v>5.6</v>
      </c>
      <c r="AB69" s="109">
        <f t="shared" si="19"/>
        <v>4.2</v>
      </c>
      <c r="AC69" s="107">
        <f t="shared" si="20"/>
        <v>5.6</v>
      </c>
      <c r="AD69" s="150">
        <f t="shared" si="21"/>
        <v>5.6</v>
      </c>
      <c r="AE69" s="108">
        <f t="shared" si="22"/>
        <v>3.4</v>
      </c>
      <c r="AF69" s="109">
        <f t="shared" si="23"/>
        <v>2.2000000000000002</v>
      </c>
    </row>
    <row r="70" spans="1:32" x14ac:dyDescent="0.2">
      <c r="A70" s="65" t="str">
        <f>IF(AND('様式１－２'!$C$39="☑",'様式１－２'!$C$42="□",'様式１－２'!$C$43="□",'様式１－２'!$C$44="☑"),"★","")</f>
        <v/>
      </c>
      <c r="B70" s="106"/>
      <c r="C70" s="133"/>
      <c r="D70" s="68" t="s">
        <v>60</v>
      </c>
      <c r="E70" s="69"/>
      <c r="F70" s="69"/>
      <c r="G70" s="73" t="s">
        <v>60</v>
      </c>
      <c r="H70" s="155"/>
      <c r="I70" s="72">
        <v>1853</v>
      </c>
      <c r="J70" s="114">
        <v>1853</v>
      </c>
      <c r="K70" s="114">
        <v>1472</v>
      </c>
      <c r="L70" s="114">
        <v>1266</v>
      </c>
      <c r="M70" s="114">
        <v>995.19011516946364</v>
      </c>
      <c r="N70" s="114">
        <v>995.19011516946364</v>
      </c>
      <c r="O70" s="114">
        <v>681.76464626521886</v>
      </c>
      <c r="P70" s="50">
        <v>512.30100691016776</v>
      </c>
      <c r="Q70" s="50">
        <v>686.05169865218818</v>
      </c>
      <c r="R70" s="114">
        <v>686.05169865218818</v>
      </c>
      <c r="S70" s="114">
        <v>420.29824356827908</v>
      </c>
      <c r="T70" s="50">
        <v>276.6100237591312</v>
      </c>
      <c r="U70" s="207">
        <f t="shared" si="12"/>
        <v>15.4</v>
      </c>
      <c r="V70" s="150">
        <f t="shared" si="13"/>
        <v>15.4</v>
      </c>
      <c r="W70" s="108">
        <f t="shared" si="14"/>
        <v>12.3</v>
      </c>
      <c r="X70" s="109">
        <f t="shared" si="15"/>
        <v>10.6</v>
      </c>
      <c r="Y70" s="107">
        <f t="shared" si="16"/>
        <v>8.3000000000000007</v>
      </c>
      <c r="Z70" s="150">
        <f t="shared" si="17"/>
        <v>8.3000000000000007</v>
      </c>
      <c r="AA70" s="108">
        <f t="shared" si="18"/>
        <v>5.7</v>
      </c>
      <c r="AB70" s="109">
        <f t="shared" si="19"/>
        <v>4.3</v>
      </c>
      <c r="AC70" s="107">
        <f t="shared" si="20"/>
        <v>5.7</v>
      </c>
      <c r="AD70" s="150">
        <f t="shared" si="21"/>
        <v>5.7</v>
      </c>
      <c r="AE70" s="108">
        <f t="shared" si="22"/>
        <v>3.5</v>
      </c>
      <c r="AF70" s="109">
        <f t="shared" si="23"/>
        <v>2.2999999999999998</v>
      </c>
    </row>
    <row r="71" spans="1:32" x14ac:dyDescent="0.2">
      <c r="A71" s="65" t="str">
        <f>IF(AND('様式１－２'!$C$39="☑",'様式１－２'!$C$42="☑",'様式１－２'!$C$43="☑",'様式１－２'!$C$44="□"),"★","")</f>
        <v/>
      </c>
      <c r="B71" s="106"/>
      <c r="C71" s="133"/>
      <c r="D71" s="68" t="s">
        <v>60</v>
      </c>
      <c r="E71" s="69" t="s">
        <v>60</v>
      </c>
      <c r="F71" s="69" t="s">
        <v>60</v>
      </c>
      <c r="G71" s="73"/>
      <c r="H71" s="155"/>
      <c r="I71" s="72">
        <v>2728</v>
      </c>
      <c r="J71" s="114">
        <v>2728</v>
      </c>
      <c r="K71" s="114">
        <v>2167</v>
      </c>
      <c r="L71" s="114">
        <v>1864</v>
      </c>
      <c r="M71" s="114">
        <v>1714.9992629154326</v>
      </c>
      <c r="N71" s="114">
        <v>1714.9992629154326</v>
      </c>
      <c r="O71" s="114">
        <v>1253.4987693320172</v>
      </c>
      <c r="P71" s="50">
        <v>1004.2391444554129</v>
      </c>
      <c r="Q71" s="50">
        <v>1296.3778750259953</v>
      </c>
      <c r="R71" s="114">
        <v>1296.3778750259953</v>
      </c>
      <c r="S71" s="114">
        <v>905.07160651661729</v>
      </c>
      <c r="T71" s="50">
        <v>693.72437058374464</v>
      </c>
      <c r="U71" s="207">
        <f t="shared" si="12"/>
        <v>22.7</v>
      </c>
      <c r="V71" s="150">
        <f t="shared" si="13"/>
        <v>22.7</v>
      </c>
      <c r="W71" s="108">
        <f t="shared" si="14"/>
        <v>18.100000000000001</v>
      </c>
      <c r="X71" s="109">
        <f t="shared" si="15"/>
        <v>15.5</v>
      </c>
      <c r="Y71" s="107">
        <f t="shared" si="16"/>
        <v>14.3</v>
      </c>
      <c r="Z71" s="150">
        <f t="shared" si="17"/>
        <v>14.3</v>
      </c>
      <c r="AA71" s="108">
        <f t="shared" si="18"/>
        <v>10.4</v>
      </c>
      <c r="AB71" s="109">
        <f t="shared" si="19"/>
        <v>8.4</v>
      </c>
      <c r="AC71" s="107">
        <f t="shared" si="20"/>
        <v>10.8</v>
      </c>
      <c r="AD71" s="150">
        <f t="shared" si="21"/>
        <v>10.8</v>
      </c>
      <c r="AE71" s="108">
        <f t="shared" si="22"/>
        <v>7.5</v>
      </c>
      <c r="AF71" s="109">
        <f t="shared" si="23"/>
        <v>5.8</v>
      </c>
    </row>
    <row r="72" spans="1:32" x14ac:dyDescent="0.2">
      <c r="A72" s="65" t="str">
        <f>IF(AND('様式１－２'!$C$39="☑",'様式１－２'!$C$42="☑",'様式１－２'!$C$43="□",'様式１－２'!$C$44="☑"),"★","")</f>
        <v/>
      </c>
      <c r="B72" s="106"/>
      <c r="C72" s="133"/>
      <c r="D72" s="68" t="s">
        <v>60</v>
      </c>
      <c r="E72" s="69" t="s">
        <v>60</v>
      </c>
      <c r="F72" s="69"/>
      <c r="G72" s="73" t="s">
        <v>60</v>
      </c>
      <c r="H72" s="155"/>
      <c r="I72" s="72">
        <v>2752</v>
      </c>
      <c r="J72" s="114">
        <v>2752</v>
      </c>
      <c r="K72" s="114">
        <v>2186</v>
      </c>
      <c r="L72" s="114">
        <v>1880</v>
      </c>
      <c r="M72" s="114">
        <v>1734.7425995393223</v>
      </c>
      <c r="N72" s="114">
        <v>1734.7425995393223</v>
      </c>
      <c r="O72" s="114">
        <v>1269.1289108259298</v>
      </c>
      <c r="P72" s="50">
        <v>1017.4013688713393</v>
      </c>
      <c r="Q72" s="50">
        <v>1313.1182501493913</v>
      </c>
      <c r="R72" s="114">
        <v>1313.1182501493913</v>
      </c>
      <c r="S72" s="114">
        <v>918.32440348930595</v>
      </c>
      <c r="T72" s="50">
        <v>704.88462066600857</v>
      </c>
      <c r="U72" s="207">
        <f t="shared" si="12"/>
        <v>22.9</v>
      </c>
      <c r="V72" s="150">
        <f t="shared" si="13"/>
        <v>22.9</v>
      </c>
      <c r="W72" s="108">
        <f t="shared" si="14"/>
        <v>18.2</v>
      </c>
      <c r="X72" s="109">
        <f t="shared" si="15"/>
        <v>15.7</v>
      </c>
      <c r="Y72" s="107">
        <f t="shared" si="16"/>
        <v>14.5</v>
      </c>
      <c r="Z72" s="150">
        <f t="shared" si="17"/>
        <v>14.5</v>
      </c>
      <c r="AA72" s="108">
        <f t="shared" si="18"/>
        <v>10.6</v>
      </c>
      <c r="AB72" s="109">
        <f t="shared" si="19"/>
        <v>8.5</v>
      </c>
      <c r="AC72" s="107">
        <f t="shared" si="20"/>
        <v>10.9</v>
      </c>
      <c r="AD72" s="150">
        <f t="shared" si="21"/>
        <v>10.9</v>
      </c>
      <c r="AE72" s="108">
        <f t="shared" si="22"/>
        <v>7.7</v>
      </c>
      <c r="AF72" s="109">
        <f t="shared" si="23"/>
        <v>5.9</v>
      </c>
    </row>
    <row r="73" spans="1:32" x14ac:dyDescent="0.2">
      <c r="A73" s="65" t="str">
        <f>IF(AND('様式１－２'!$C$39="☑",'様式１－２'!$C$42="□",'様式１－２'!$C$43="☑",'様式１－２'!$C$44="☑"),"★","")</f>
        <v/>
      </c>
      <c r="B73" s="106"/>
      <c r="C73" s="133"/>
      <c r="D73" s="68" t="s">
        <v>60</v>
      </c>
      <c r="E73" s="69"/>
      <c r="F73" s="69" t="s">
        <v>60</v>
      </c>
      <c r="G73" s="73" t="s">
        <v>60</v>
      </c>
      <c r="H73" s="155"/>
      <c r="I73" s="72">
        <v>2101</v>
      </c>
      <c r="J73" s="116">
        <v>2101</v>
      </c>
      <c r="K73" s="116">
        <v>1669</v>
      </c>
      <c r="L73" s="116">
        <v>1436</v>
      </c>
      <c r="M73" s="116">
        <v>1199.2045936163213</v>
      </c>
      <c r="N73" s="116">
        <v>1199.2045936163213</v>
      </c>
      <c r="O73" s="116">
        <v>843.82453438631126</v>
      </c>
      <c r="P73" s="50">
        <v>652.14964132938474</v>
      </c>
      <c r="Q73" s="50">
        <v>859.03557492727884</v>
      </c>
      <c r="R73" s="116">
        <v>859.03557492727884</v>
      </c>
      <c r="S73" s="116">
        <v>557.70882270615334</v>
      </c>
      <c r="T73" s="50">
        <v>395.18768088318529</v>
      </c>
      <c r="U73" s="207">
        <f t="shared" si="12"/>
        <v>17.5</v>
      </c>
      <c r="V73" s="150">
        <f t="shared" si="13"/>
        <v>17.5</v>
      </c>
      <c r="W73" s="108">
        <f t="shared" si="14"/>
        <v>13.9</v>
      </c>
      <c r="X73" s="109">
        <f t="shared" si="15"/>
        <v>12</v>
      </c>
      <c r="Y73" s="107">
        <f t="shared" si="16"/>
        <v>10</v>
      </c>
      <c r="Z73" s="150">
        <f t="shared" si="17"/>
        <v>10</v>
      </c>
      <c r="AA73" s="108">
        <f t="shared" si="18"/>
        <v>7</v>
      </c>
      <c r="AB73" s="109">
        <f t="shared" si="19"/>
        <v>5.4</v>
      </c>
      <c r="AC73" s="107">
        <f t="shared" si="20"/>
        <v>7.2</v>
      </c>
      <c r="AD73" s="150">
        <f t="shared" si="21"/>
        <v>7.2</v>
      </c>
      <c r="AE73" s="108">
        <f t="shared" si="22"/>
        <v>4.5999999999999996</v>
      </c>
      <c r="AF73" s="109">
        <f t="shared" si="23"/>
        <v>3.3</v>
      </c>
    </row>
    <row r="74" spans="1:32" x14ac:dyDescent="0.2">
      <c r="A74" s="65" t="str">
        <f>IF(AND('様式１－２'!$C$39="☑",'様式１－２'!$C$42="☑",'様式１－２'!$C$43="☑",'様式１－２'!$C$44="☑"),"★","")</f>
        <v/>
      </c>
      <c r="B74" s="106"/>
      <c r="C74" s="134"/>
      <c r="D74" s="68" t="s">
        <v>60</v>
      </c>
      <c r="E74" s="69" t="s">
        <v>60</v>
      </c>
      <c r="F74" s="69" t="s">
        <v>60</v>
      </c>
      <c r="G74" s="73" t="s">
        <v>60</v>
      </c>
      <c r="H74" s="155"/>
      <c r="I74" s="72">
        <v>3016</v>
      </c>
      <c r="J74" s="114">
        <v>3016</v>
      </c>
      <c r="K74" s="114">
        <v>2396</v>
      </c>
      <c r="L74" s="114">
        <v>2060</v>
      </c>
      <c r="M74" s="114">
        <v>1951.919302402106</v>
      </c>
      <c r="N74" s="114">
        <v>1951.919302402106</v>
      </c>
      <c r="O74" s="114">
        <v>1441.8831062849622</v>
      </c>
      <c r="P74" s="50">
        <v>1165.4763935505102</v>
      </c>
      <c r="Q74" s="50">
        <v>1497.2623765067458</v>
      </c>
      <c r="R74" s="114">
        <v>1497.2623765067458</v>
      </c>
      <c r="S74" s="114">
        <v>1064.8026858190194</v>
      </c>
      <c r="T74" s="50">
        <v>830.4374340914776</v>
      </c>
      <c r="U74" s="207">
        <f t="shared" si="12"/>
        <v>25.1</v>
      </c>
      <c r="V74" s="150">
        <f t="shared" si="13"/>
        <v>25.1</v>
      </c>
      <c r="W74" s="108">
        <f t="shared" si="14"/>
        <v>20</v>
      </c>
      <c r="X74" s="109">
        <f t="shared" si="15"/>
        <v>17.2</v>
      </c>
      <c r="Y74" s="107">
        <f t="shared" si="16"/>
        <v>16.3</v>
      </c>
      <c r="Z74" s="150">
        <f t="shared" si="17"/>
        <v>16.3</v>
      </c>
      <c r="AA74" s="108">
        <f t="shared" si="18"/>
        <v>12</v>
      </c>
      <c r="AB74" s="109">
        <f t="shared" si="19"/>
        <v>9.6999999999999993</v>
      </c>
      <c r="AC74" s="107">
        <f t="shared" si="20"/>
        <v>12.5</v>
      </c>
      <c r="AD74" s="150">
        <f t="shared" si="21"/>
        <v>12.5</v>
      </c>
      <c r="AE74" s="108">
        <f t="shared" si="22"/>
        <v>8.9</v>
      </c>
      <c r="AF74" s="109">
        <f t="shared" si="23"/>
        <v>6.9</v>
      </c>
    </row>
    <row r="75" spans="1:32" x14ac:dyDescent="0.2">
      <c r="A75" s="65" t="str">
        <f>IF(AND('様式１－２'!$C$46="☑",'様式１－２'!$C$49="□",'様式１－２'!$C$50="□",'様式１－２'!$C$51="□"),"★","")</f>
        <v/>
      </c>
      <c r="B75" s="106" t="s">
        <v>130</v>
      </c>
      <c r="C75" s="132">
        <f>'様式１－２'!B46</f>
        <v>0</v>
      </c>
      <c r="D75" s="68" t="s">
        <v>60</v>
      </c>
      <c r="E75" s="69"/>
      <c r="F75" s="69"/>
      <c r="G75" s="73"/>
      <c r="H75" s="155"/>
      <c r="I75" s="72">
        <v>1779</v>
      </c>
      <c r="J75" s="113">
        <v>1779</v>
      </c>
      <c r="K75" s="113">
        <v>1438</v>
      </c>
      <c r="L75" s="113">
        <v>1130</v>
      </c>
      <c r="M75" s="113">
        <v>1241</v>
      </c>
      <c r="N75" s="113">
        <v>1241</v>
      </c>
      <c r="O75" s="113">
        <v>936</v>
      </c>
      <c r="P75" s="113">
        <v>1045</v>
      </c>
      <c r="Q75" s="113">
        <v>1078</v>
      </c>
      <c r="R75" s="113">
        <v>1078</v>
      </c>
      <c r="S75" s="113">
        <v>808</v>
      </c>
      <c r="T75" s="113">
        <v>920</v>
      </c>
      <c r="U75" s="206">
        <f t="shared" si="12"/>
        <v>14.8</v>
      </c>
      <c r="V75" s="150">
        <f t="shared" si="13"/>
        <v>14.8</v>
      </c>
      <c r="W75" s="108">
        <f t="shared" si="14"/>
        <v>12</v>
      </c>
      <c r="X75" s="109">
        <f t="shared" si="15"/>
        <v>9.4</v>
      </c>
      <c r="Y75" s="107">
        <f t="shared" si="16"/>
        <v>10.3</v>
      </c>
      <c r="Z75" s="150">
        <f t="shared" si="17"/>
        <v>10.3</v>
      </c>
      <c r="AA75" s="108">
        <f t="shared" si="18"/>
        <v>7.8</v>
      </c>
      <c r="AB75" s="109">
        <f t="shared" si="19"/>
        <v>8.6999999999999993</v>
      </c>
      <c r="AC75" s="107">
        <f t="shared" si="20"/>
        <v>9</v>
      </c>
      <c r="AD75" s="150">
        <f t="shared" si="21"/>
        <v>9</v>
      </c>
      <c r="AE75" s="108">
        <f t="shared" si="22"/>
        <v>6.7</v>
      </c>
      <c r="AF75" s="109">
        <f t="shared" si="23"/>
        <v>7.7</v>
      </c>
    </row>
    <row r="76" spans="1:32" x14ac:dyDescent="0.2">
      <c r="A76" s="65" t="str">
        <f>IF(AND('様式１－２'!$C$46="☑",'様式１－２'!$C$49="☑",'様式１－２'!$C$50="□",'様式１－２'!$C$51="□"),"★","")</f>
        <v/>
      </c>
      <c r="B76" s="106"/>
      <c r="C76" s="133"/>
      <c r="D76" s="68" t="s">
        <v>60</v>
      </c>
      <c r="E76" s="69" t="s">
        <v>60</v>
      </c>
      <c r="F76" s="69"/>
      <c r="G76" s="73"/>
      <c r="H76" s="155"/>
      <c r="I76" s="72">
        <v>2471</v>
      </c>
      <c r="J76" s="114">
        <v>2471</v>
      </c>
      <c r="K76" s="114">
        <v>1963</v>
      </c>
      <c r="L76" s="114">
        <v>1688</v>
      </c>
      <c r="M76" s="114">
        <v>1503.5810332346168</v>
      </c>
      <c r="N76" s="114">
        <v>1503.5810332346168</v>
      </c>
      <c r="O76" s="114">
        <v>1085.6804080289571</v>
      </c>
      <c r="P76" s="50">
        <v>859.45467588022382</v>
      </c>
      <c r="Q76" s="50">
        <v>1117.1163580796317</v>
      </c>
      <c r="R76" s="114">
        <v>1117.1163580796317</v>
      </c>
      <c r="S76" s="114">
        <v>762.77841796775272</v>
      </c>
      <c r="T76" s="50">
        <v>570.96161967884177</v>
      </c>
      <c r="U76" s="207">
        <f t="shared" si="12"/>
        <v>20.6</v>
      </c>
      <c r="V76" s="150">
        <f t="shared" si="13"/>
        <v>20.6</v>
      </c>
      <c r="W76" s="108">
        <f t="shared" si="14"/>
        <v>16.399999999999999</v>
      </c>
      <c r="X76" s="109">
        <f t="shared" si="15"/>
        <v>14.1</v>
      </c>
      <c r="Y76" s="107">
        <f t="shared" si="16"/>
        <v>12.5</v>
      </c>
      <c r="Z76" s="150">
        <f t="shared" si="17"/>
        <v>12.5</v>
      </c>
      <c r="AA76" s="108">
        <f t="shared" si="18"/>
        <v>9</v>
      </c>
      <c r="AB76" s="109">
        <f t="shared" si="19"/>
        <v>7.2</v>
      </c>
      <c r="AC76" s="107">
        <f t="shared" si="20"/>
        <v>9.3000000000000007</v>
      </c>
      <c r="AD76" s="150">
        <f t="shared" si="21"/>
        <v>9.3000000000000007</v>
      </c>
      <c r="AE76" s="108">
        <f t="shared" si="22"/>
        <v>6.4</v>
      </c>
      <c r="AF76" s="109">
        <f t="shared" si="23"/>
        <v>4.8</v>
      </c>
    </row>
    <row r="77" spans="1:32" x14ac:dyDescent="0.2">
      <c r="A77" s="65" t="str">
        <f>IF(AND('様式１－２'!$C$46="☑",'様式１－２'!$C$49="□",'様式１－２'!$C$50="☑",'様式１－２'!$C$51="□"),"★","")</f>
        <v/>
      </c>
      <c r="B77" s="106"/>
      <c r="C77" s="133"/>
      <c r="D77" s="68" t="s">
        <v>60</v>
      </c>
      <c r="E77" s="69"/>
      <c r="F77" s="69" t="s">
        <v>60</v>
      </c>
      <c r="G77" s="73"/>
      <c r="H77" s="155"/>
      <c r="I77" s="72">
        <v>1839</v>
      </c>
      <c r="J77" s="114">
        <v>1839</v>
      </c>
      <c r="K77" s="114">
        <v>1461</v>
      </c>
      <c r="L77" s="114">
        <v>1256</v>
      </c>
      <c r="M77" s="114">
        <v>983.67316880552823</v>
      </c>
      <c r="N77" s="114">
        <v>983.67316880552823</v>
      </c>
      <c r="O77" s="114">
        <v>672.71561697926961</v>
      </c>
      <c r="P77" s="50">
        <v>504.0746166502139</v>
      </c>
      <c r="Q77" s="50">
        <v>676.28647983020744</v>
      </c>
      <c r="R77" s="114">
        <v>676.28647983020744</v>
      </c>
      <c r="S77" s="114">
        <v>412.62557163672273</v>
      </c>
      <c r="T77" s="50">
        <v>269.63486745771638</v>
      </c>
      <c r="U77" s="207">
        <f t="shared" si="12"/>
        <v>15.3</v>
      </c>
      <c r="V77" s="150">
        <f t="shared" si="13"/>
        <v>15.3</v>
      </c>
      <c r="W77" s="108">
        <f t="shared" si="14"/>
        <v>12.2</v>
      </c>
      <c r="X77" s="109">
        <f t="shared" si="15"/>
        <v>10.5</v>
      </c>
      <c r="Y77" s="107">
        <f t="shared" si="16"/>
        <v>8.1999999999999993</v>
      </c>
      <c r="Z77" s="150">
        <f t="shared" si="17"/>
        <v>8.1999999999999993</v>
      </c>
      <c r="AA77" s="108">
        <f t="shared" si="18"/>
        <v>5.6</v>
      </c>
      <c r="AB77" s="109">
        <f t="shared" si="19"/>
        <v>4.2</v>
      </c>
      <c r="AC77" s="107">
        <f t="shared" si="20"/>
        <v>5.6</v>
      </c>
      <c r="AD77" s="150">
        <f t="shared" si="21"/>
        <v>5.6</v>
      </c>
      <c r="AE77" s="108">
        <f t="shared" si="22"/>
        <v>3.4</v>
      </c>
      <c r="AF77" s="109">
        <f t="shared" si="23"/>
        <v>2.2000000000000002</v>
      </c>
    </row>
    <row r="78" spans="1:32" x14ac:dyDescent="0.2">
      <c r="A78" s="65" t="str">
        <f>IF(AND('様式１－２'!$C$46="☑",'様式１－２'!$C$49="□",'様式１－２'!$C$50="□",'様式１－２'!$C$51="☑"),"★","")</f>
        <v/>
      </c>
      <c r="B78" s="106"/>
      <c r="C78" s="133"/>
      <c r="D78" s="68" t="s">
        <v>60</v>
      </c>
      <c r="E78" s="69"/>
      <c r="F78" s="69"/>
      <c r="G78" s="73" t="s">
        <v>60</v>
      </c>
      <c r="H78" s="155"/>
      <c r="I78" s="72">
        <v>1853</v>
      </c>
      <c r="J78" s="114">
        <v>1853</v>
      </c>
      <c r="K78" s="114">
        <v>1472</v>
      </c>
      <c r="L78" s="114">
        <v>1266</v>
      </c>
      <c r="M78" s="114">
        <v>995.19011516946364</v>
      </c>
      <c r="N78" s="114">
        <v>995.19011516946364</v>
      </c>
      <c r="O78" s="114">
        <v>681.76464626521886</v>
      </c>
      <c r="P78" s="50">
        <v>512.30100691016776</v>
      </c>
      <c r="Q78" s="50">
        <v>686.05169865218818</v>
      </c>
      <c r="R78" s="114">
        <v>686.05169865218818</v>
      </c>
      <c r="S78" s="114">
        <v>420.29824356827908</v>
      </c>
      <c r="T78" s="50">
        <v>276.6100237591312</v>
      </c>
      <c r="U78" s="207">
        <f t="shared" si="12"/>
        <v>15.4</v>
      </c>
      <c r="V78" s="150">
        <f t="shared" si="13"/>
        <v>15.4</v>
      </c>
      <c r="W78" s="108">
        <f t="shared" si="14"/>
        <v>12.3</v>
      </c>
      <c r="X78" s="109">
        <f t="shared" si="15"/>
        <v>10.6</v>
      </c>
      <c r="Y78" s="107">
        <f t="shared" si="16"/>
        <v>8.3000000000000007</v>
      </c>
      <c r="Z78" s="150">
        <f t="shared" si="17"/>
        <v>8.3000000000000007</v>
      </c>
      <c r="AA78" s="108">
        <f t="shared" si="18"/>
        <v>5.7</v>
      </c>
      <c r="AB78" s="109">
        <f t="shared" si="19"/>
        <v>4.3</v>
      </c>
      <c r="AC78" s="107">
        <f t="shared" si="20"/>
        <v>5.7</v>
      </c>
      <c r="AD78" s="150">
        <f t="shared" si="21"/>
        <v>5.7</v>
      </c>
      <c r="AE78" s="108">
        <f t="shared" si="22"/>
        <v>3.5</v>
      </c>
      <c r="AF78" s="109">
        <f t="shared" si="23"/>
        <v>2.2999999999999998</v>
      </c>
    </row>
    <row r="79" spans="1:32" x14ac:dyDescent="0.2">
      <c r="A79" s="65" t="str">
        <f>IF(AND('様式１－２'!$C$46="☑",'様式１－２'!$C$49="☑",'様式１－２'!$C$50="☑",'様式１－２'!$C$51="□"),"★","")</f>
        <v/>
      </c>
      <c r="B79" s="106"/>
      <c r="C79" s="133"/>
      <c r="D79" s="68" t="s">
        <v>60</v>
      </c>
      <c r="E79" s="69" t="s">
        <v>60</v>
      </c>
      <c r="F79" s="69" t="s">
        <v>60</v>
      </c>
      <c r="G79" s="73"/>
      <c r="H79" s="155"/>
      <c r="I79" s="72">
        <v>2728</v>
      </c>
      <c r="J79" s="114">
        <v>2728</v>
      </c>
      <c r="K79" s="114">
        <v>2167</v>
      </c>
      <c r="L79" s="114">
        <v>1864</v>
      </c>
      <c r="M79" s="114">
        <v>1714.9992629154326</v>
      </c>
      <c r="N79" s="114">
        <v>1714.9992629154326</v>
      </c>
      <c r="O79" s="114">
        <v>1253.4987693320172</v>
      </c>
      <c r="P79" s="50">
        <v>1004.2391444554129</v>
      </c>
      <c r="Q79" s="50">
        <v>1296.3778750259953</v>
      </c>
      <c r="R79" s="114">
        <v>1296.3778750259953</v>
      </c>
      <c r="S79" s="114">
        <v>905.07160651661729</v>
      </c>
      <c r="T79" s="50">
        <v>693.72437058374464</v>
      </c>
      <c r="U79" s="207">
        <f t="shared" si="12"/>
        <v>22.7</v>
      </c>
      <c r="V79" s="150">
        <f t="shared" si="13"/>
        <v>22.7</v>
      </c>
      <c r="W79" s="108">
        <f t="shared" si="14"/>
        <v>18.100000000000001</v>
      </c>
      <c r="X79" s="109">
        <f t="shared" si="15"/>
        <v>15.5</v>
      </c>
      <c r="Y79" s="107">
        <f t="shared" si="16"/>
        <v>14.3</v>
      </c>
      <c r="Z79" s="150">
        <f t="shared" si="17"/>
        <v>14.3</v>
      </c>
      <c r="AA79" s="108">
        <f t="shared" si="18"/>
        <v>10.4</v>
      </c>
      <c r="AB79" s="109">
        <f t="shared" si="19"/>
        <v>8.4</v>
      </c>
      <c r="AC79" s="107">
        <f t="shared" si="20"/>
        <v>10.8</v>
      </c>
      <c r="AD79" s="150">
        <f t="shared" si="21"/>
        <v>10.8</v>
      </c>
      <c r="AE79" s="108">
        <f t="shared" si="22"/>
        <v>7.5</v>
      </c>
      <c r="AF79" s="109">
        <f t="shared" si="23"/>
        <v>5.8</v>
      </c>
    </row>
    <row r="80" spans="1:32" x14ac:dyDescent="0.2">
      <c r="A80" s="65" t="str">
        <f>IF(AND('様式１－２'!$C$46="☑",'様式１－２'!$C$49="☑",'様式１－２'!$C$50="□",'様式１－２'!$C$51="☑"),"★","")</f>
        <v/>
      </c>
      <c r="B80" s="106"/>
      <c r="C80" s="133"/>
      <c r="D80" s="68" t="s">
        <v>60</v>
      </c>
      <c r="E80" s="69" t="s">
        <v>60</v>
      </c>
      <c r="F80" s="69"/>
      <c r="G80" s="73" t="s">
        <v>60</v>
      </c>
      <c r="H80" s="155"/>
      <c r="I80" s="72">
        <v>2752</v>
      </c>
      <c r="J80" s="114">
        <v>2752</v>
      </c>
      <c r="K80" s="114">
        <v>2186</v>
      </c>
      <c r="L80" s="114">
        <v>1880</v>
      </c>
      <c r="M80" s="114">
        <v>1734.7425995393223</v>
      </c>
      <c r="N80" s="114">
        <v>1734.7425995393223</v>
      </c>
      <c r="O80" s="114">
        <v>1269.1289108259298</v>
      </c>
      <c r="P80" s="50">
        <v>1017.4013688713393</v>
      </c>
      <c r="Q80" s="50">
        <v>1313.1182501493913</v>
      </c>
      <c r="R80" s="114">
        <v>1313.1182501493913</v>
      </c>
      <c r="S80" s="114">
        <v>918.32440348930595</v>
      </c>
      <c r="T80" s="50">
        <v>704.88462066600857</v>
      </c>
      <c r="U80" s="207">
        <f t="shared" si="12"/>
        <v>22.9</v>
      </c>
      <c r="V80" s="150">
        <f t="shared" si="13"/>
        <v>22.9</v>
      </c>
      <c r="W80" s="108">
        <f t="shared" si="14"/>
        <v>18.2</v>
      </c>
      <c r="X80" s="109">
        <f t="shared" si="15"/>
        <v>15.7</v>
      </c>
      <c r="Y80" s="107">
        <f t="shared" si="16"/>
        <v>14.5</v>
      </c>
      <c r="Z80" s="150">
        <f t="shared" si="17"/>
        <v>14.5</v>
      </c>
      <c r="AA80" s="108">
        <f t="shared" si="18"/>
        <v>10.6</v>
      </c>
      <c r="AB80" s="109">
        <f t="shared" si="19"/>
        <v>8.5</v>
      </c>
      <c r="AC80" s="107">
        <f t="shared" si="20"/>
        <v>10.9</v>
      </c>
      <c r="AD80" s="150">
        <f t="shared" si="21"/>
        <v>10.9</v>
      </c>
      <c r="AE80" s="108">
        <f t="shared" si="22"/>
        <v>7.7</v>
      </c>
      <c r="AF80" s="109">
        <f t="shared" si="23"/>
        <v>5.9</v>
      </c>
    </row>
    <row r="81" spans="1:32" x14ac:dyDescent="0.2">
      <c r="A81" s="65" t="str">
        <f>IF(AND('様式１－２'!$C$46="☑",'様式１－２'!$C$49="□",'様式１－２'!$C$50="☑",'様式１－２'!$C$51="☑"),"★","")</f>
        <v/>
      </c>
      <c r="B81" s="106"/>
      <c r="C81" s="133"/>
      <c r="D81" s="68" t="s">
        <v>60</v>
      </c>
      <c r="E81" s="69"/>
      <c r="F81" s="69" t="s">
        <v>60</v>
      </c>
      <c r="G81" s="73" t="s">
        <v>60</v>
      </c>
      <c r="H81" s="155"/>
      <c r="I81" s="72">
        <v>2101</v>
      </c>
      <c r="J81" s="116">
        <v>2101</v>
      </c>
      <c r="K81" s="116">
        <v>1669</v>
      </c>
      <c r="L81" s="116">
        <v>1436</v>
      </c>
      <c r="M81" s="116">
        <v>1199.2045936163213</v>
      </c>
      <c r="N81" s="116">
        <v>1199.2045936163213</v>
      </c>
      <c r="O81" s="116">
        <v>843.82453438631126</v>
      </c>
      <c r="P81" s="50">
        <v>652.14964132938474</v>
      </c>
      <c r="Q81" s="50">
        <v>859.03557492727884</v>
      </c>
      <c r="R81" s="116">
        <v>859.03557492727884</v>
      </c>
      <c r="S81" s="116">
        <v>557.70882270615334</v>
      </c>
      <c r="T81" s="50">
        <v>395.18768088318529</v>
      </c>
      <c r="U81" s="207">
        <f t="shared" si="12"/>
        <v>17.5</v>
      </c>
      <c r="V81" s="150">
        <f t="shared" si="13"/>
        <v>17.5</v>
      </c>
      <c r="W81" s="108">
        <f t="shared" si="14"/>
        <v>13.9</v>
      </c>
      <c r="X81" s="109">
        <f t="shared" si="15"/>
        <v>12</v>
      </c>
      <c r="Y81" s="107">
        <f t="shared" si="16"/>
        <v>10</v>
      </c>
      <c r="Z81" s="150">
        <f t="shared" si="17"/>
        <v>10</v>
      </c>
      <c r="AA81" s="108">
        <f t="shared" si="18"/>
        <v>7</v>
      </c>
      <c r="AB81" s="109">
        <f t="shared" si="19"/>
        <v>5.4</v>
      </c>
      <c r="AC81" s="107">
        <f t="shared" si="20"/>
        <v>7.2</v>
      </c>
      <c r="AD81" s="150">
        <f t="shared" si="21"/>
        <v>7.2</v>
      </c>
      <c r="AE81" s="108">
        <f t="shared" si="22"/>
        <v>4.5999999999999996</v>
      </c>
      <c r="AF81" s="109">
        <f t="shared" si="23"/>
        <v>3.3</v>
      </c>
    </row>
    <row r="82" spans="1:32" x14ac:dyDescent="0.2">
      <c r="A82" s="65" t="str">
        <f>IF(AND('様式１－２'!$C$46="☑",'様式１－２'!$C$49="☑",'様式１－２'!$C$50="☑",'様式１－２'!$C$51="☑"),"★","")</f>
        <v/>
      </c>
      <c r="B82" s="106"/>
      <c r="C82" s="134"/>
      <c r="D82" s="68" t="s">
        <v>60</v>
      </c>
      <c r="E82" s="69" t="s">
        <v>60</v>
      </c>
      <c r="F82" s="69" t="s">
        <v>60</v>
      </c>
      <c r="G82" s="73" t="s">
        <v>60</v>
      </c>
      <c r="H82" s="155"/>
      <c r="I82" s="72">
        <v>3016</v>
      </c>
      <c r="J82" s="114">
        <v>3016</v>
      </c>
      <c r="K82" s="114">
        <v>2396</v>
      </c>
      <c r="L82" s="114">
        <v>2060</v>
      </c>
      <c r="M82" s="114">
        <v>1951.919302402106</v>
      </c>
      <c r="N82" s="114">
        <v>1951.919302402106</v>
      </c>
      <c r="O82" s="114">
        <v>1441.8831062849622</v>
      </c>
      <c r="P82" s="50">
        <v>1165.4763935505102</v>
      </c>
      <c r="Q82" s="50">
        <v>1497.2623765067458</v>
      </c>
      <c r="R82" s="114">
        <v>1497.2623765067458</v>
      </c>
      <c r="S82" s="114">
        <v>1064.8026858190194</v>
      </c>
      <c r="T82" s="50">
        <v>830.4374340914776</v>
      </c>
      <c r="U82" s="207">
        <f t="shared" si="12"/>
        <v>25.1</v>
      </c>
      <c r="V82" s="150">
        <f t="shared" si="13"/>
        <v>25.1</v>
      </c>
      <c r="W82" s="108">
        <f t="shared" si="14"/>
        <v>20</v>
      </c>
      <c r="X82" s="109">
        <f t="shared" si="15"/>
        <v>17.2</v>
      </c>
      <c r="Y82" s="107">
        <f t="shared" si="16"/>
        <v>16.3</v>
      </c>
      <c r="Z82" s="150">
        <f t="shared" si="17"/>
        <v>16.3</v>
      </c>
      <c r="AA82" s="108">
        <f t="shared" si="18"/>
        <v>12</v>
      </c>
      <c r="AB82" s="109">
        <f t="shared" si="19"/>
        <v>9.6999999999999993</v>
      </c>
      <c r="AC82" s="107">
        <f t="shared" si="20"/>
        <v>12.5</v>
      </c>
      <c r="AD82" s="150">
        <f t="shared" si="21"/>
        <v>12.5</v>
      </c>
      <c r="AE82" s="108">
        <f t="shared" si="22"/>
        <v>8.9</v>
      </c>
      <c r="AF82" s="109">
        <f t="shared" si="23"/>
        <v>6.9</v>
      </c>
    </row>
    <row r="83" spans="1:32" x14ac:dyDescent="0.2">
      <c r="A83" s="65" t="str">
        <f>IF(AND('様式１－２'!$C$53="☑",'様式１－２'!$C$56="□",'様式１－２'!$C$57="□",'様式１－２'!$C$58="□"),"★","")</f>
        <v/>
      </c>
      <c r="B83" s="106" t="s">
        <v>131</v>
      </c>
      <c r="C83" s="132">
        <f>'様式１－２'!B53</f>
        <v>0</v>
      </c>
      <c r="D83" s="68" t="s">
        <v>60</v>
      </c>
      <c r="E83" s="69"/>
      <c r="F83" s="69"/>
      <c r="G83" s="73"/>
      <c r="H83" s="147"/>
      <c r="I83" s="147">
        <v>1779</v>
      </c>
      <c r="J83" s="113">
        <v>1779</v>
      </c>
      <c r="K83" s="113">
        <v>1438</v>
      </c>
      <c r="L83" s="113">
        <v>1130</v>
      </c>
      <c r="M83" s="113">
        <v>1241</v>
      </c>
      <c r="N83" s="113">
        <v>1241</v>
      </c>
      <c r="O83" s="113">
        <v>936</v>
      </c>
      <c r="P83" s="113">
        <v>1045</v>
      </c>
      <c r="Q83" s="113">
        <v>1078</v>
      </c>
      <c r="R83" s="113">
        <v>1078</v>
      </c>
      <c r="S83" s="113">
        <v>808</v>
      </c>
      <c r="T83" s="113">
        <v>920</v>
      </c>
      <c r="U83" s="206">
        <f t="shared" si="12"/>
        <v>14.8</v>
      </c>
      <c r="V83" s="150">
        <f t="shared" si="13"/>
        <v>14.8</v>
      </c>
      <c r="W83" s="108">
        <f t="shared" si="14"/>
        <v>12</v>
      </c>
      <c r="X83" s="109">
        <f t="shared" si="15"/>
        <v>9.4</v>
      </c>
      <c r="Y83" s="107">
        <f t="shared" si="16"/>
        <v>10.3</v>
      </c>
      <c r="Z83" s="150">
        <f t="shared" si="17"/>
        <v>10.3</v>
      </c>
      <c r="AA83" s="108">
        <f t="shared" si="18"/>
        <v>7.8</v>
      </c>
      <c r="AB83" s="109">
        <f t="shared" si="19"/>
        <v>8.6999999999999993</v>
      </c>
      <c r="AC83" s="107">
        <f t="shared" si="20"/>
        <v>9</v>
      </c>
      <c r="AD83" s="150">
        <f t="shared" si="21"/>
        <v>9</v>
      </c>
      <c r="AE83" s="108">
        <f t="shared" si="22"/>
        <v>6.7</v>
      </c>
      <c r="AF83" s="109">
        <f t="shared" si="23"/>
        <v>7.7</v>
      </c>
    </row>
    <row r="84" spans="1:32" x14ac:dyDescent="0.2">
      <c r="A84" s="65" t="str">
        <f>IF(AND('様式１－２'!$C$53="☑",'様式１－２'!$C$56="☑",'様式１－２'!$C$57="□",'様式１－２'!$C$58="□"),"★","")</f>
        <v/>
      </c>
      <c r="B84" s="106"/>
      <c r="C84" s="133"/>
      <c r="D84" s="68" t="s">
        <v>60</v>
      </c>
      <c r="E84" s="69" t="s">
        <v>60</v>
      </c>
      <c r="F84" s="69"/>
      <c r="G84" s="73"/>
      <c r="H84" s="147"/>
      <c r="I84" s="155">
        <v>2471</v>
      </c>
      <c r="J84" s="114">
        <v>2471</v>
      </c>
      <c r="K84" s="114">
        <v>1963</v>
      </c>
      <c r="L84" s="114">
        <v>1688</v>
      </c>
      <c r="M84" s="114">
        <v>1503.5810332346168</v>
      </c>
      <c r="N84" s="114">
        <v>1503.5810332346168</v>
      </c>
      <c r="O84" s="114">
        <v>1085.6804080289571</v>
      </c>
      <c r="P84" s="50">
        <v>859.45467588022382</v>
      </c>
      <c r="Q84" s="50">
        <v>1117.1163580796317</v>
      </c>
      <c r="R84" s="114">
        <v>1117.1163580796317</v>
      </c>
      <c r="S84" s="114">
        <v>762.77841796775272</v>
      </c>
      <c r="T84" s="50">
        <v>570.96161967884177</v>
      </c>
      <c r="U84" s="207">
        <f t="shared" si="12"/>
        <v>20.6</v>
      </c>
      <c r="V84" s="150">
        <f t="shared" si="13"/>
        <v>20.6</v>
      </c>
      <c r="W84" s="108">
        <f t="shared" si="14"/>
        <v>16.399999999999999</v>
      </c>
      <c r="X84" s="109">
        <f t="shared" si="15"/>
        <v>14.1</v>
      </c>
      <c r="Y84" s="107">
        <f t="shared" si="16"/>
        <v>12.5</v>
      </c>
      <c r="Z84" s="150">
        <f t="shared" si="17"/>
        <v>12.5</v>
      </c>
      <c r="AA84" s="108">
        <f t="shared" si="18"/>
        <v>9</v>
      </c>
      <c r="AB84" s="109">
        <f t="shared" si="19"/>
        <v>7.2</v>
      </c>
      <c r="AC84" s="107">
        <f t="shared" si="20"/>
        <v>9.3000000000000007</v>
      </c>
      <c r="AD84" s="150">
        <f t="shared" si="21"/>
        <v>9.3000000000000007</v>
      </c>
      <c r="AE84" s="108">
        <f t="shared" si="22"/>
        <v>6.4</v>
      </c>
      <c r="AF84" s="109">
        <f t="shared" si="23"/>
        <v>4.8</v>
      </c>
    </row>
    <row r="85" spans="1:32" x14ac:dyDescent="0.2">
      <c r="A85" s="65" t="str">
        <f>IF(AND('様式１－２'!$C$53="☑",'様式１－２'!$C$56="□",'様式１－２'!$C$57="☑",'様式１－２'!$C$58="□"),"★","")</f>
        <v/>
      </c>
      <c r="B85" s="106"/>
      <c r="C85" s="133"/>
      <c r="D85" s="68" t="s">
        <v>60</v>
      </c>
      <c r="E85" s="69"/>
      <c r="F85" s="69" t="s">
        <v>60</v>
      </c>
      <c r="G85" s="73"/>
      <c r="H85" s="147"/>
      <c r="I85" s="155">
        <v>1839</v>
      </c>
      <c r="J85" s="114">
        <v>1839</v>
      </c>
      <c r="K85" s="114">
        <v>1461</v>
      </c>
      <c r="L85" s="114">
        <v>1256</v>
      </c>
      <c r="M85" s="114">
        <v>983.67316880552823</v>
      </c>
      <c r="N85" s="114">
        <v>983.67316880552823</v>
      </c>
      <c r="O85" s="114">
        <v>672.71561697926961</v>
      </c>
      <c r="P85" s="50">
        <v>504.0746166502139</v>
      </c>
      <c r="Q85" s="50">
        <v>676.28647983020744</v>
      </c>
      <c r="R85" s="114">
        <v>676.28647983020744</v>
      </c>
      <c r="S85" s="114">
        <v>412.62557163672273</v>
      </c>
      <c r="T85" s="50">
        <v>269.63486745771638</v>
      </c>
      <c r="U85" s="207">
        <f t="shared" si="12"/>
        <v>15.3</v>
      </c>
      <c r="V85" s="150">
        <f t="shared" si="13"/>
        <v>15.3</v>
      </c>
      <c r="W85" s="108">
        <f t="shared" si="14"/>
        <v>12.2</v>
      </c>
      <c r="X85" s="109">
        <f t="shared" si="15"/>
        <v>10.5</v>
      </c>
      <c r="Y85" s="107">
        <f t="shared" si="16"/>
        <v>8.1999999999999993</v>
      </c>
      <c r="Z85" s="150">
        <f t="shared" si="17"/>
        <v>8.1999999999999993</v>
      </c>
      <c r="AA85" s="108">
        <f t="shared" si="18"/>
        <v>5.6</v>
      </c>
      <c r="AB85" s="109">
        <f t="shared" si="19"/>
        <v>4.2</v>
      </c>
      <c r="AC85" s="107">
        <f t="shared" si="20"/>
        <v>5.6</v>
      </c>
      <c r="AD85" s="150">
        <f t="shared" si="21"/>
        <v>5.6</v>
      </c>
      <c r="AE85" s="108">
        <f t="shared" si="22"/>
        <v>3.4</v>
      </c>
      <c r="AF85" s="109">
        <f t="shared" si="23"/>
        <v>2.2000000000000002</v>
      </c>
    </row>
    <row r="86" spans="1:32" x14ac:dyDescent="0.2">
      <c r="A86" s="65" t="str">
        <f>IF(AND('様式１－２'!$C$53="☑",'様式１－２'!$C$56="□",'様式１－２'!$C$57="□",'様式１－２'!$C$58="☑"),"★","")</f>
        <v/>
      </c>
      <c r="B86" s="106"/>
      <c r="C86" s="133"/>
      <c r="D86" s="68" t="s">
        <v>60</v>
      </c>
      <c r="E86" s="69"/>
      <c r="F86" s="69"/>
      <c r="G86" s="73" t="s">
        <v>60</v>
      </c>
      <c r="H86" s="147"/>
      <c r="I86" s="155">
        <v>1853</v>
      </c>
      <c r="J86" s="114">
        <v>1853</v>
      </c>
      <c r="K86" s="114">
        <v>1472</v>
      </c>
      <c r="L86" s="114">
        <v>1266</v>
      </c>
      <c r="M86" s="114">
        <v>995.19011516946364</v>
      </c>
      <c r="N86" s="114">
        <v>995.19011516946364</v>
      </c>
      <c r="O86" s="114">
        <v>681.76464626521886</v>
      </c>
      <c r="P86" s="50">
        <v>512.30100691016776</v>
      </c>
      <c r="Q86" s="50">
        <v>686.05169865218818</v>
      </c>
      <c r="R86" s="114">
        <v>686.05169865218818</v>
      </c>
      <c r="S86" s="114">
        <v>420.29824356827908</v>
      </c>
      <c r="T86" s="50">
        <v>276.6100237591312</v>
      </c>
      <c r="U86" s="207">
        <f t="shared" si="12"/>
        <v>15.4</v>
      </c>
      <c r="V86" s="150">
        <f t="shared" si="13"/>
        <v>15.4</v>
      </c>
      <c r="W86" s="108">
        <f t="shared" si="14"/>
        <v>12.3</v>
      </c>
      <c r="X86" s="109">
        <f t="shared" si="15"/>
        <v>10.6</v>
      </c>
      <c r="Y86" s="107">
        <f t="shared" si="16"/>
        <v>8.3000000000000007</v>
      </c>
      <c r="Z86" s="150">
        <f t="shared" si="17"/>
        <v>8.3000000000000007</v>
      </c>
      <c r="AA86" s="108">
        <f t="shared" si="18"/>
        <v>5.7</v>
      </c>
      <c r="AB86" s="109">
        <f t="shared" si="19"/>
        <v>4.3</v>
      </c>
      <c r="AC86" s="107">
        <f t="shared" si="20"/>
        <v>5.7</v>
      </c>
      <c r="AD86" s="150">
        <f t="shared" si="21"/>
        <v>5.7</v>
      </c>
      <c r="AE86" s="108">
        <f t="shared" si="22"/>
        <v>3.5</v>
      </c>
      <c r="AF86" s="109">
        <f t="shared" si="23"/>
        <v>2.2999999999999998</v>
      </c>
    </row>
    <row r="87" spans="1:32" x14ac:dyDescent="0.2">
      <c r="A87" s="65" t="str">
        <f>IF(AND('様式１－２'!$C$53="☑",'様式１－２'!$C$56="☑",'様式１－２'!$C$57="☑",'様式１－２'!$C$58="□"),"★","")</f>
        <v/>
      </c>
      <c r="B87" s="106"/>
      <c r="C87" s="133"/>
      <c r="D87" s="68" t="s">
        <v>60</v>
      </c>
      <c r="E87" s="69" t="s">
        <v>60</v>
      </c>
      <c r="F87" s="69" t="s">
        <v>60</v>
      </c>
      <c r="G87" s="73"/>
      <c r="H87" s="147"/>
      <c r="I87" s="155">
        <v>2728</v>
      </c>
      <c r="J87" s="114">
        <v>2728</v>
      </c>
      <c r="K87" s="114">
        <v>2167</v>
      </c>
      <c r="L87" s="114">
        <v>1864</v>
      </c>
      <c r="M87" s="114">
        <v>1714.9992629154326</v>
      </c>
      <c r="N87" s="114">
        <v>1714.9992629154326</v>
      </c>
      <c r="O87" s="114">
        <v>1253.4987693320172</v>
      </c>
      <c r="P87" s="50">
        <v>1004.2391444554129</v>
      </c>
      <c r="Q87" s="50">
        <v>1296.3778750259953</v>
      </c>
      <c r="R87" s="114">
        <v>1296.3778750259953</v>
      </c>
      <c r="S87" s="114">
        <v>905.07160651661729</v>
      </c>
      <c r="T87" s="50">
        <v>693.72437058374464</v>
      </c>
      <c r="U87" s="207">
        <f t="shared" si="12"/>
        <v>22.7</v>
      </c>
      <c r="V87" s="150">
        <f t="shared" si="13"/>
        <v>22.7</v>
      </c>
      <c r="W87" s="108">
        <f t="shared" si="14"/>
        <v>18.100000000000001</v>
      </c>
      <c r="X87" s="109">
        <f t="shared" si="15"/>
        <v>15.5</v>
      </c>
      <c r="Y87" s="107">
        <f t="shared" si="16"/>
        <v>14.3</v>
      </c>
      <c r="Z87" s="150">
        <f t="shared" si="17"/>
        <v>14.3</v>
      </c>
      <c r="AA87" s="108">
        <f t="shared" si="18"/>
        <v>10.4</v>
      </c>
      <c r="AB87" s="109">
        <f t="shared" si="19"/>
        <v>8.4</v>
      </c>
      <c r="AC87" s="107">
        <f t="shared" si="20"/>
        <v>10.8</v>
      </c>
      <c r="AD87" s="150">
        <f t="shared" si="21"/>
        <v>10.8</v>
      </c>
      <c r="AE87" s="108">
        <f t="shared" si="22"/>
        <v>7.5</v>
      </c>
      <c r="AF87" s="109">
        <f t="shared" si="23"/>
        <v>5.8</v>
      </c>
    </row>
    <row r="88" spans="1:32" x14ac:dyDescent="0.2">
      <c r="A88" s="65" t="str">
        <f>IF(AND('様式１－２'!$C$53="☑",'様式１－２'!$C$56="☑",'様式１－２'!$C$57="□",'様式１－２'!$C$58="☑"),"★","")</f>
        <v/>
      </c>
      <c r="B88" s="106"/>
      <c r="C88" s="133"/>
      <c r="D88" s="68" t="s">
        <v>60</v>
      </c>
      <c r="E88" s="69" t="s">
        <v>60</v>
      </c>
      <c r="F88" s="69"/>
      <c r="G88" s="73" t="s">
        <v>60</v>
      </c>
      <c r="H88" s="147"/>
      <c r="I88" s="155">
        <v>2752</v>
      </c>
      <c r="J88" s="114">
        <v>2752</v>
      </c>
      <c r="K88" s="114">
        <v>2186</v>
      </c>
      <c r="L88" s="114">
        <v>1880</v>
      </c>
      <c r="M88" s="114">
        <v>1734.7425995393223</v>
      </c>
      <c r="N88" s="114">
        <v>1734.7425995393223</v>
      </c>
      <c r="O88" s="114">
        <v>1269.1289108259298</v>
      </c>
      <c r="P88" s="50">
        <v>1017.4013688713393</v>
      </c>
      <c r="Q88" s="50">
        <v>1313.1182501493913</v>
      </c>
      <c r="R88" s="114">
        <v>1313.1182501493913</v>
      </c>
      <c r="S88" s="114">
        <v>918.32440348930595</v>
      </c>
      <c r="T88" s="50">
        <v>704.88462066600857</v>
      </c>
      <c r="U88" s="207">
        <f t="shared" si="12"/>
        <v>22.9</v>
      </c>
      <c r="V88" s="150">
        <f t="shared" si="13"/>
        <v>22.9</v>
      </c>
      <c r="W88" s="108">
        <f t="shared" si="14"/>
        <v>18.2</v>
      </c>
      <c r="X88" s="109">
        <f t="shared" si="15"/>
        <v>15.7</v>
      </c>
      <c r="Y88" s="107">
        <f t="shared" si="16"/>
        <v>14.5</v>
      </c>
      <c r="Z88" s="150">
        <f t="shared" si="17"/>
        <v>14.5</v>
      </c>
      <c r="AA88" s="108">
        <f t="shared" si="18"/>
        <v>10.6</v>
      </c>
      <c r="AB88" s="109">
        <f t="shared" si="19"/>
        <v>8.5</v>
      </c>
      <c r="AC88" s="107">
        <f t="shared" si="20"/>
        <v>10.9</v>
      </c>
      <c r="AD88" s="150">
        <f t="shared" si="21"/>
        <v>10.9</v>
      </c>
      <c r="AE88" s="108">
        <f t="shared" si="22"/>
        <v>7.7</v>
      </c>
      <c r="AF88" s="109">
        <f t="shared" si="23"/>
        <v>5.9</v>
      </c>
    </row>
    <row r="89" spans="1:32" x14ac:dyDescent="0.2">
      <c r="A89" s="65" t="str">
        <f>IF(AND('様式１－２'!$C$53="☑",'様式１－２'!$C$56="□",'様式１－２'!$C$57="☑",'様式１－２'!$C$58="☑"),"★","")</f>
        <v/>
      </c>
      <c r="B89" s="106"/>
      <c r="C89" s="133"/>
      <c r="D89" s="68" t="s">
        <v>60</v>
      </c>
      <c r="E89" s="69"/>
      <c r="F89" s="69" t="s">
        <v>60</v>
      </c>
      <c r="G89" s="73" t="s">
        <v>60</v>
      </c>
      <c r="H89" s="147"/>
      <c r="I89" s="155">
        <v>2101</v>
      </c>
      <c r="J89" s="116">
        <v>2101</v>
      </c>
      <c r="K89" s="116">
        <v>1669</v>
      </c>
      <c r="L89" s="116">
        <v>1436</v>
      </c>
      <c r="M89" s="116">
        <v>1199.2045936163213</v>
      </c>
      <c r="N89" s="116">
        <v>1199.2045936163213</v>
      </c>
      <c r="O89" s="116">
        <v>843.82453438631126</v>
      </c>
      <c r="P89" s="50">
        <v>652.14964132938474</v>
      </c>
      <c r="Q89" s="50">
        <v>859.03557492727884</v>
      </c>
      <c r="R89" s="116">
        <v>859.03557492727884</v>
      </c>
      <c r="S89" s="116">
        <v>557.70882270615334</v>
      </c>
      <c r="T89" s="50">
        <v>395.18768088318529</v>
      </c>
      <c r="U89" s="207">
        <f t="shared" si="12"/>
        <v>17.5</v>
      </c>
      <c r="V89" s="150">
        <f t="shared" si="13"/>
        <v>17.5</v>
      </c>
      <c r="W89" s="108">
        <f t="shared" si="14"/>
        <v>13.9</v>
      </c>
      <c r="X89" s="109">
        <f t="shared" si="15"/>
        <v>12</v>
      </c>
      <c r="Y89" s="107">
        <f t="shared" si="16"/>
        <v>10</v>
      </c>
      <c r="Z89" s="150">
        <f t="shared" si="17"/>
        <v>10</v>
      </c>
      <c r="AA89" s="108">
        <f t="shared" si="18"/>
        <v>7</v>
      </c>
      <c r="AB89" s="109">
        <f t="shared" si="19"/>
        <v>5.4</v>
      </c>
      <c r="AC89" s="107">
        <f t="shared" si="20"/>
        <v>7.2</v>
      </c>
      <c r="AD89" s="150">
        <f t="shared" si="21"/>
        <v>7.2</v>
      </c>
      <c r="AE89" s="108">
        <f t="shared" si="22"/>
        <v>4.5999999999999996</v>
      </c>
      <c r="AF89" s="109">
        <f t="shared" si="23"/>
        <v>3.3</v>
      </c>
    </row>
    <row r="90" spans="1:32" x14ac:dyDescent="0.2">
      <c r="A90" s="65" t="str">
        <f>IF(AND('様式１－２'!$C$53="☑",'様式１－２'!$C$56="☑",'様式１－２'!$C$57="☑",'様式１－２'!$C$58="☑"),"★","")</f>
        <v/>
      </c>
      <c r="B90" s="106"/>
      <c r="C90" s="134"/>
      <c r="D90" s="68" t="s">
        <v>60</v>
      </c>
      <c r="E90" s="69" t="s">
        <v>60</v>
      </c>
      <c r="F90" s="69" t="s">
        <v>60</v>
      </c>
      <c r="G90" s="73" t="s">
        <v>60</v>
      </c>
      <c r="H90" s="147"/>
      <c r="I90" s="155">
        <v>3016</v>
      </c>
      <c r="J90" s="114">
        <v>3016</v>
      </c>
      <c r="K90" s="114">
        <v>2396</v>
      </c>
      <c r="L90" s="114">
        <v>2060</v>
      </c>
      <c r="M90" s="114">
        <v>1951.919302402106</v>
      </c>
      <c r="N90" s="114">
        <v>1951.919302402106</v>
      </c>
      <c r="O90" s="114">
        <v>1441.8831062849622</v>
      </c>
      <c r="P90" s="50">
        <v>1165.4763935505102</v>
      </c>
      <c r="Q90" s="50">
        <v>1497.2623765067458</v>
      </c>
      <c r="R90" s="114">
        <v>1497.2623765067458</v>
      </c>
      <c r="S90" s="114">
        <v>1064.8026858190194</v>
      </c>
      <c r="T90" s="50">
        <v>830.4374340914776</v>
      </c>
      <c r="U90" s="207">
        <f t="shared" si="12"/>
        <v>25.1</v>
      </c>
      <c r="V90" s="150">
        <f t="shared" si="13"/>
        <v>25.1</v>
      </c>
      <c r="W90" s="108">
        <f t="shared" si="14"/>
        <v>20</v>
      </c>
      <c r="X90" s="109">
        <f t="shared" si="15"/>
        <v>17.2</v>
      </c>
      <c r="Y90" s="107">
        <f t="shared" si="16"/>
        <v>16.3</v>
      </c>
      <c r="Z90" s="150">
        <f t="shared" si="17"/>
        <v>16.3</v>
      </c>
      <c r="AA90" s="108">
        <f t="shared" si="18"/>
        <v>12</v>
      </c>
      <c r="AB90" s="109">
        <f t="shared" si="19"/>
        <v>9.6999999999999993</v>
      </c>
      <c r="AC90" s="107">
        <f t="shared" si="20"/>
        <v>12.5</v>
      </c>
      <c r="AD90" s="150">
        <f t="shared" si="21"/>
        <v>12.5</v>
      </c>
      <c r="AE90" s="108">
        <f t="shared" si="22"/>
        <v>8.9</v>
      </c>
      <c r="AF90" s="109">
        <f t="shared" si="23"/>
        <v>6.9</v>
      </c>
    </row>
    <row r="91" spans="1:32" x14ac:dyDescent="0.2">
      <c r="I91" s="6"/>
      <c r="J91" s="6"/>
      <c r="K91" s="6"/>
      <c r="L91" s="6"/>
      <c r="M91" s="6"/>
      <c r="N91" s="6"/>
    </row>
    <row r="92" spans="1:32" x14ac:dyDescent="0.2">
      <c r="I92" s="6"/>
      <c r="J92" s="6"/>
      <c r="K92" s="6"/>
      <c r="L92" s="6"/>
      <c r="M92" s="6"/>
      <c r="N92" s="6"/>
    </row>
  </sheetData>
  <sheetProtection sheet="1" objects="1" scenarios="1" selectLockedCells="1"/>
  <mergeCells count="48">
    <mergeCell ref="AD4:AG4"/>
    <mergeCell ref="AH4:AK4"/>
    <mergeCell ref="F37:AC37"/>
    <mergeCell ref="I41:L41"/>
    <mergeCell ref="M41:P41"/>
    <mergeCell ref="Q41:T41"/>
    <mergeCell ref="U41:X41"/>
    <mergeCell ref="Y41:AB41"/>
    <mergeCell ref="AC41:AF41"/>
    <mergeCell ref="J4:M4"/>
    <mergeCell ref="G39:H39"/>
    <mergeCell ref="J39:K39"/>
    <mergeCell ref="V31:V32"/>
    <mergeCell ref="W31:W32"/>
    <mergeCell ref="N31:N32"/>
    <mergeCell ref="O31:O32"/>
    <mergeCell ref="B4:E4"/>
    <mergeCell ref="P31:P32"/>
    <mergeCell ref="Q31:Q32"/>
    <mergeCell ref="F31:F32"/>
    <mergeCell ref="G31:G32"/>
    <mergeCell ref="H31:H32"/>
    <mergeCell ref="I31:I32"/>
    <mergeCell ref="J31:J32"/>
    <mergeCell ref="K31:K32"/>
    <mergeCell ref="L31:L32"/>
    <mergeCell ref="M31:M32"/>
    <mergeCell ref="F4:I4"/>
    <mergeCell ref="B39:F39"/>
    <mergeCell ref="B31:B32"/>
    <mergeCell ref="C31:C32"/>
    <mergeCell ref="D31:D32"/>
    <mergeCell ref="E31:E32"/>
    <mergeCell ref="B37:E37"/>
    <mergeCell ref="Z31:Z32"/>
    <mergeCell ref="AA31:AA32"/>
    <mergeCell ref="N4:Q4"/>
    <mergeCell ref="R4:U4"/>
    <mergeCell ref="V4:Y4"/>
    <mergeCell ref="Z4:AC4"/>
    <mergeCell ref="T31:T32"/>
    <mergeCell ref="U31:U32"/>
    <mergeCell ref="R31:R32"/>
    <mergeCell ref="S31:S32"/>
    <mergeCell ref="X31:X32"/>
    <mergeCell ref="Y31:Y32"/>
    <mergeCell ref="AB31:AB32"/>
    <mergeCell ref="AC31:AC32"/>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Zeros="0" view="pageBreakPreview" zoomScale="145" zoomScaleNormal="100" zoomScaleSheetLayoutView="145" workbookViewId="0">
      <selection activeCell="B6" sqref="B6"/>
    </sheetView>
  </sheetViews>
  <sheetFormatPr defaultColWidth="8.90625" defaultRowHeight="13" x14ac:dyDescent="0.2"/>
  <cols>
    <col min="1" max="1" width="40.453125" style="204" customWidth="1"/>
    <col min="2" max="2" width="17.08984375" style="204" customWidth="1"/>
    <col min="3" max="3" width="5.453125" style="204" customWidth="1"/>
    <col min="4" max="16384" width="8.90625" style="204"/>
  </cols>
  <sheetData>
    <row r="1" spans="1:3" x14ac:dyDescent="0.2">
      <c r="A1" s="204" t="s">
        <v>238</v>
      </c>
    </row>
    <row r="3" spans="1:3" x14ac:dyDescent="0.2">
      <c r="A3" s="204" t="s">
        <v>223</v>
      </c>
    </row>
    <row r="5" spans="1:3" x14ac:dyDescent="0.2">
      <c r="A5" s="72" t="s">
        <v>224</v>
      </c>
      <c r="B5" s="488" t="s">
        <v>229</v>
      </c>
      <c r="C5" s="488"/>
    </row>
    <row r="6" spans="1:3" x14ac:dyDescent="0.2">
      <c r="A6" s="273" t="s">
        <v>225</v>
      </c>
      <c r="B6" s="296"/>
      <c r="C6" s="273" t="s">
        <v>203</v>
      </c>
    </row>
    <row r="7" spans="1:3" x14ac:dyDescent="0.2">
      <c r="A7" s="273" t="s">
        <v>226</v>
      </c>
      <c r="B7" s="296"/>
      <c r="C7" s="273" t="s">
        <v>203</v>
      </c>
    </row>
    <row r="8" spans="1:3" x14ac:dyDescent="0.2">
      <c r="A8" s="273" t="s">
        <v>227</v>
      </c>
      <c r="B8" s="296"/>
      <c r="C8" s="273" t="s">
        <v>203</v>
      </c>
    </row>
    <row r="9" spans="1:3" x14ac:dyDescent="0.2">
      <c r="A9" s="273" t="s">
        <v>228</v>
      </c>
      <c r="B9" s="297">
        <f>SUM(B6:B8)</f>
        <v>0</v>
      </c>
      <c r="C9" s="273" t="s">
        <v>203</v>
      </c>
    </row>
    <row r="10" spans="1:3" ht="13.5" thickBot="1" x14ac:dyDescent="0.25"/>
    <row r="11" spans="1:3" ht="39.5" thickBot="1" x14ac:dyDescent="0.25">
      <c r="A11" s="245" t="s">
        <v>289</v>
      </c>
      <c r="B11" s="298">
        <f>MIN(ROUNDDOWN(B9*2/3,-3),22000)</f>
        <v>0</v>
      </c>
      <c r="C11" s="244" t="s">
        <v>203</v>
      </c>
    </row>
  </sheetData>
  <sheetProtection sheet="1" selectLockedCells="1"/>
  <mergeCells count="1">
    <mergeCell ref="B5:C5"/>
  </mergeCells>
  <phoneticPr fontId="1"/>
  <pageMargins left="0.7" right="0.7" top="0.75" bottom="0.75" header="0.3" footer="0.3"/>
  <pageSetup paperSize="9" fitToWidth="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showZeros="0" view="pageBreakPreview" zoomScale="120" zoomScaleNormal="100" zoomScaleSheetLayoutView="120" workbookViewId="0">
      <selection activeCell="H5" sqref="H5"/>
    </sheetView>
  </sheetViews>
  <sheetFormatPr defaultColWidth="8.90625" defaultRowHeight="13" x14ac:dyDescent="0.2"/>
  <cols>
    <col min="1" max="7" width="11.36328125" style="204" customWidth="1"/>
    <col min="8" max="8" width="8.6328125" style="204" customWidth="1"/>
    <col min="9" max="9" width="5.6328125" style="204" customWidth="1"/>
    <col min="10" max="10" width="10.6328125" style="204" customWidth="1"/>
    <col min="11" max="11" width="8.90625" style="204"/>
    <col min="12" max="12" width="10.6328125" style="204" customWidth="1"/>
    <col min="13" max="13" width="5.6328125" style="204" customWidth="1"/>
    <col min="14" max="16384" width="8.90625" style="204"/>
  </cols>
  <sheetData>
    <row r="1" spans="1:13" x14ac:dyDescent="0.2">
      <c r="A1" s="204" t="s">
        <v>239</v>
      </c>
    </row>
    <row r="3" spans="1:13" x14ac:dyDescent="0.2">
      <c r="A3" s="204" t="s">
        <v>221</v>
      </c>
    </row>
    <row r="4" spans="1:13" ht="13.15" customHeight="1" x14ac:dyDescent="0.2">
      <c r="A4" s="492" t="s">
        <v>183</v>
      </c>
      <c r="B4" s="493"/>
      <c r="C4" s="493"/>
      <c r="D4" s="494"/>
      <c r="E4" s="492" t="s">
        <v>186</v>
      </c>
      <c r="F4" s="493"/>
      <c r="G4" s="494"/>
      <c r="H4" s="492" t="s">
        <v>187</v>
      </c>
      <c r="I4" s="494"/>
      <c r="J4" s="495" t="s">
        <v>188</v>
      </c>
      <c r="K4" s="496"/>
      <c r="L4" s="492" t="s">
        <v>189</v>
      </c>
      <c r="M4" s="494"/>
    </row>
    <row r="5" spans="1:13" x14ac:dyDescent="0.2">
      <c r="A5" s="509" t="s">
        <v>217</v>
      </c>
      <c r="B5" s="509" t="s">
        <v>184</v>
      </c>
      <c r="C5" s="509" t="s">
        <v>42</v>
      </c>
      <c r="D5" s="509" t="s">
        <v>100</v>
      </c>
      <c r="E5" s="251" t="s">
        <v>192</v>
      </c>
      <c r="F5" s="252">
        <v>72000</v>
      </c>
      <c r="G5" s="251" t="s">
        <v>195</v>
      </c>
      <c r="H5" s="306"/>
      <c r="I5" s="251" t="s">
        <v>196</v>
      </c>
      <c r="J5" s="253">
        <f>F5*H5</f>
        <v>0</v>
      </c>
      <c r="K5" s="251" t="s">
        <v>203</v>
      </c>
      <c r="L5" s="254"/>
      <c r="M5" s="251" t="s">
        <v>203</v>
      </c>
    </row>
    <row r="6" spans="1:13" x14ac:dyDescent="0.2">
      <c r="A6" s="509"/>
      <c r="B6" s="509"/>
      <c r="C6" s="509"/>
      <c r="D6" s="509"/>
      <c r="E6" s="251" t="s">
        <v>193</v>
      </c>
      <c r="F6" s="252">
        <v>48000</v>
      </c>
      <c r="G6" s="251" t="s">
        <v>195</v>
      </c>
      <c r="H6" s="306"/>
      <c r="I6" s="251" t="s">
        <v>196</v>
      </c>
      <c r="J6" s="253">
        <f t="shared" ref="J6:J18" si="0">F6*H6</f>
        <v>0</v>
      </c>
      <c r="K6" s="251" t="s">
        <v>203</v>
      </c>
      <c r="L6" s="254"/>
      <c r="M6" s="251" t="s">
        <v>203</v>
      </c>
    </row>
    <row r="7" spans="1:13" x14ac:dyDescent="0.2">
      <c r="A7" s="509"/>
      <c r="B7" s="509"/>
      <c r="C7" s="509"/>
      <c r="D7" s="509"/>
      <c r="E7" s="251" t="s">
        <v>194</v>
      </c>
      <c r="F7" s="252">
        <v>24000</v>
      </c>
      <c r="G7" s="251" t="s">
        <v>195</v>
      </c>
      <c r="H7" s="306"/>
      <c r="I7" s="251" t="s">
        <v>196</v>
      </c>
      <c r="J7" s="253">
        <f t="shared" si="0"/>
        <v>0</v>
      </c>
      <c r="K7" s="251" t="s">
        <v>203</v>
      </c>
      <c r="L7" s="254"/>
      <c r="M7" s="251" t="s">
        <v>203</v>
      </c>
    </row>
    <row r="8" spans="1:13" x14ac:dyDescent="0.2">
      <c r="A8" s="509"/>
      <c r="B8" s="509"/>
      <c r="C8" s="509"/>
      <c r="D8" s="509" t="s">
        <v>190</v>
      </c>
      <c r="E8" s="251" t="s">
        <v>192</v>
      </c>
      <c r="F8" s="252">
        <v>184000</v>
      </c>
      <c r="G8" s="251" t="s">
        <v>202</v>
      </c>
      <c r="H8" s="306"/>
      <c r="I8" s="251" t="s">
        <v>44</v>
      </c>
      <c r="J8" s="253">
        <f t="shared" si="0"/>
        <v>0</v>
      </c>
      <c r="K8" s="251" t="s">
        <v>203</v>
      </c>
      <c r="L8" s="254"/>
      <c r="M8" s="251" t="s">
        <v>203</v>
      </c>
    </row>
    <row r="9" spans="1:13" x14ac:dyDescent="0.2">
      <c r="A9" s="509"/>
      <c r="B9" s="509"/>
      <c r="C9" s="509"/>
      <c r="D9" s="509"/>
      <c r="E9" s="251" t="s">
        <v>193</v>
      </c>
      <c r="F9" s="252">
        <v>144000</v>
      </c>
      <c r="G9" s="251" t="s">
        <v>202</v>
      </c>
      <c r="H9" s="306"/>
      <c r="I9" s="251" t="s">
        <v>44</v>
      </c>
      <c r="J9" s="253">
        <f t="shared" si="0"/>
        <v>0</v>
      </c>
      <c r="K9" s="251" t="s">
        <v>203</v>
      </c>
      <c r="L9" s="254"/>
      <c r="M9" s="251" t="s">
        <v>203</v>
      </c>
    </row>
    <row r="10" spans="1:13" x14ac:dyDescent="0.2">
      <c r="A10" s="509"/>
      <c r="B10" s="509"/>
      <c r="C10" s="509"/>
      <c r="D10" s="509"/>
      <c r="E10" s="251" t="s">
        <v>194</v>
      </c>
      <c r="F10" s="252">
        <v>120000</v>
      </c>
      <c r="G10" s="251" t="s">
        <v>202</v>
      </c>
      <c r="H10" s="306"/>
      <c r="I10" s="251" t="s">
        <v>44</v>
      </c>
      <c r="J10" s="253">
        <f t="shared" si="0"/>
        <v>0</v>
      </c>
      <c r="K10" s="251" t="s">
        <v>203</v>
      </c>
      <c r="L10" s="254"/>
      <c r="M10" s="251" t="s">
        <v>203</v>
      </c>
    </row>
    <row r="11" spans="1:13" x14ac:dyDescent="0.2">
      <c r="A11" s="509"/>
      <c r="B11" s="509"/>
      <c r="C11" s="509" t="s">
        <v>185</v>
      </c>
      <c r="D11" s="509" t="s">
        <v>191</v>
      </c>
      <c r="E11" s="251" t="s">
        <v>192</v>
      </c>
      <c r="F11" s="252">
        <v>272000</v>
      </c>
      <c r="G11" s="251" t="s">
        <v>202</v>
      </c>
      <c r="H11" s="306"/>
      <c r="I11" s="251" t="s">
        <v>44</v>
      </c>
      <c r="J11" s="253">
        <f t="shared" si="0"/>
        <v>0</v>
      </c>
      <c r="K11" s="251" t="s">
        <v>203</v>
      </c>
      <c r="L11" s="254"/>
      <c r="M11" s="251" t="s">
        <v>203</v>
      </c>
    </row>
    <row r="12" spans="1:13" x14ac:dyDescent="0.2">
      <c r="A12" s="509"/>
      <c r="B12" s="509"/>
      <c r="C12" s="509"/>
      <c r="D12" s="509"/>
      <c r="E12" s="251" t="s">
        <v>194</v>
      </c>
      <c r="F12" s="252">
        <v>240000</v>
      </c>
      <c r="G12" s="251" t="s">
        <v>202</v>
      </c>
      <c r="H12" s="306"/>
      <c r="I12" s="251" t="s">
        <v>44</v>
      </c>
      <c r="J12" s="253">
        <f t="shared" si="0"/>
        <v>0</v>
      </c>
      <c r="K12" s="251" t="s">
        <v>203</v>
      </c>
      <c r="L12" s="254"/>
      <c r="M12" s="251" t="s">
        <v>203</v>
      </c>
    </row>
    <row r="13" spans="1:13" x14ac:dyDescent="0.2">
      <c r="A13" s="509"/>
      <c r="B13" s="509" t="s">
        <v>201</v>
      </c>
      <c r="C13" s="509"/>
      <c r="D13" s="509" t="s">
        <v>197</v>
      </c>
      <c r="E13" s="251" t="s">
        <v>199</v>
      </c>
      <c r="F13" s="252">
        <v>149000</v>
      </c>
      <c r="G13" s="251" t="s">
        <v>278</v>
      </c>
      <c r="H13" s="306"/>
      <c r="I13" s="251" t="s">
        <v>279</v>
      </c>
      <c r="J13" s="253">
        <f t="shared" si="0"/>
        <v>0</v>
      </c>
      <c r="K13" s="251" t="s">
        <v>203</v>
      </c>
      <c r="L13" s="254"/>
      <c r="M13" s="251" t="s">
        <v>203</v>
      </c>
    </row>
    <row r="14" spans="1:13" x14ac:dyDescent="0.2">
      <c r="A14" s="509"/>
      <c r="B14" s="509"/>
      <c r="C14" s="509"/>
      <c r="D14" s="509"/>
      <c r="E14" s="251" t="s">
        <v>200</v>
      </c>
      <c r="F14" s="252">
        <v>224000</v>
      </c>
      <c r="G14" s="251" t="s">
        <v>278</v>
      </c>
      <c r="H14" s="306"/>
      <c r="I14" s="251" t="s">
        <v>279</v>
      </c>
      <c r="J14" s="253">
        <f t="shared" si="0"/>
        <v>0</v>
      </c>
      <c r="K14" s="251" t="s">
        <v>203</v>
      </c>
      <c r="L14" s="254"/>
      <c r="M14" s="251" t="s">
        <v>203</v>
      </c>
    </row>
    <row r="15" spans="1:13" x14ac:dyDescent="0.2">
      <c r="A15" s="509"/>
      <c r="B15" s="509"/>
      <c r="C15" s="509"/>
      <c r="D15" s="509" t="s">
        <v>198</v>
      </c>
      <c r="E15" s="251" t="s">
        <v>199</v>
      </c>
      <c r="F15" s="252">
        <v>53000</v>
      </c>
      <c r="G15" s="251" t="s">
        <v>278</v>
      </c>
      <c r="H15" s="306"/>
      <c r="I15" s="251" t="s">
        <v>279</v>
      </c>
      <c r="J15" s="253">
        <f t="shared" si="0"/>
        <v>0</v>
      </c>
      <c r="K15" s="251" t="s">
        <v>203</v>
      </c>
      <c r="L15" s="254"/>
      <c r="M15" s="251" t="s">
        <v>203</v>
      </c>
    </row>
    <row r="16" spans="1:13" x14ac:dyDescent="0.2">
      <c r="A16" s="509"/>
      <c r="B16" s="509"/>
      <c r="C16" s="509"/>
      <c r="D16" s="509"/>
      <c r="E16" s="251" t="s">
        <v>200</v>
      </c>
      <c r="F16" s="252">
        <v>91000</v>
      </c>
      <c r="G16" s="251" t="s">
        <v>278</v>
      </c>
      <c r="H16" s="306"/>
      <c r="I16" s="251" t="s">
        <v>279</v>
      </c>
      <c r="J16" s="253">
        <f t="shared" si="0"/>
        <v>0</v>
      </c>
      <c r="K16" s="251" t="s">
        <v>203</v>
      </c>
      <c r="L16" s="254"/>
      <c r="M16" s="251" t="s">
        <v>203</v>
      </c>
    </row>
    <row r="17" spans="1:13" x14ac:dyDescent="0.2">
      <c r="A17" s="509"/>
      <c r="B17" s="509"/>
      <c r="C17" s="509"/>
      <c r="D17" s="509" t="s">
        <v>59</v>
      </c>
      <c r="E17" s="251" t="s">
        <v>199</v>
      </c>
      <c r="F17" s="252">
        <v>184000</v>
      </c>
      <c r="G17" s="251" t="s">
        <v>278</v>
      </c>
      <c r="H17" s="306"/>
      <c r="I17" s="251" t="s">
        <v>279</v>
      </c>
      <c r="J17" s="253">
        <f t="shared" si="0"/>
        <v>0</v>
      </c>
      <c r="K17" s="251" t="s">
        <v>203</v>
      </c>
      <c r="L17" s="254"/>
      <c r="M17" s="251" t="s">
        <v>203</v>
      </c>
    </row>
    <row r="18" spans="1:13" ht="13.5" thickBot="1" x14ac:dyDescent="0.25">
      <c r="A18" s="509"/>
      <c r="B18" s="510"/>
      <c r="C18" s="510"/>
      <c r="D18" s="510"/>
      <c r="E18" s="255" t="s">
        <v>200</v>
      </c>
      <c r="F18" s="256">
        <v>276000</v>
      </c>
      <c r="G18" s="255" t="s">
        <v>278</v>
      </c>
      <c r="H18" s="307"/>
      <c r="I18" s="255" t="s">
        <v>279</v>
      </c>
      <c r="J18" s="257">
        <f t="shared" si="0"/>
        <v>0</v>
      </c>
      <c r="K18" s="258" t="s">
        <v>203</v>
      </c>
      <c r="L18" s="259"/>
      <c r="M18" s="258" t="s">
        <v>203</v>
      </c>
    </row>
    <row r="19" spans="1:13" ht="3" customHeight="1" thickTop="1" thickBot="1" x14ac:dyDescent="0.25">
      <c r="A19" s="509"/>
      <c r="B19" s="515"/>
      <c r="C19" s="515"/>
      <c r="D19" s="515"/>
      <c r="E19" s="515"/>
      <c r="F19" s="515"/>
      <c r="G19" s="515"/>
      <c r="H19" s="515"/>
      <c r="I19" s="516"/>
      <c r="J19" s="260"/>
      <c r="K19" s="261"/>
      <c r="L19" s="260"/>
      <c r="M19" s="262"/>
    </row>
    <row r="20" spans="1:13" ht="13.5" thickBot="1" x14ac:dyDescent="0.25">
      <c r="A20" s="509"/>
      <c r="B20" s="511" t="s">
        <v>219</v>
      </c>
      <c r="C20" s="511"/>
      <c r="D20" s="511"/>
      <c r="E20" s="511"/>
      <c r="F20" s="511"/>
      <c r="G20" s="511"/>
      <c r="H20" s="511"/>
      <c r="I20" s="512"/>
      <c r="J20" s="263">
        <f>SUM(J5:J18)</f>
        <v>0</v>
      </c>
      <c r="K20" s="264" t="s">
        <v>203</v>
      </c>
      <c r="L20" s="263">
        <f>SUM(L5:L18)</f>
        <v>0</v>
      </c>
      <c r="M20" s="265" t="s">
        <v>203</v>
      </c>
    </row>
    <row r="21" spans="1:13" x14ac:dyDescent="0.2">
      <c r="A21" s="509" t="s">
        <v>218</v>
      </c>
      <c r="B21" s="509" t="s">
        <v>204</v>
      </c>
      <c r="C21" s="525" t="s">
        <v>205</v>
      </c>
      <c r="D21" s="525"/>
      <c r="E21" s="525"/>
      <c r="F21" s="253">
        <v>452000</v>
      </c>
      <c r="G21" s="251" t="s">
        <v>212</v>
      </c>
      <c r="H21" s="306"/>
      <c r="I21" s="251" t="s">
        <v>242</v>
      </c>
      <c r="J21" s="266">
        <f>F21*H21</f>
        <v>0</v>
      </c>
      <c r="K21" s="251" t="s">
        <v>203</v>
      </c>
      <c r="L21" s="267"/>
      <c r="M21" s="251" t="s">
        <v>203</v>
      </c>
    </row>
    <row r="22" spans="1:13" x14ac:dyDescent="0.2">
      <c r="A22" s="509"/>
      <c r="B22" s="509"/>
      <c r="C22" s="525" t="s">
        <v>206</v>
      </c>
      <c r="D22" s="525"/>
      <c r="E22" s="525"/>
      <c r="F22" s="253">
        <v>416000</v>
      </c>
      <c r="G22" s="251" t="s">
        <v>212</v>
      </c>
      <c r="H22" s="306"/>
      <c r="I22" s="251" t="s">
        <v>242</v>
      </c>
      <c r="J22" s="253">
        <f t="shared" ref="J22:J24" si="1">F22*H22</f>
        <v>0</v>
      </c>
      <c r="K22" s="251" t="s">
        <v>203</v>
      </c>
      <c r="L22" s="254"/>
      <c r="M22" s="251" t="s">
        <v>203</v>
      </c>
    </row>
    <row r="23" spans="1:13" x14ac:dyDescent="0.2">
      <c r="A23" s="509"/>
      <c r="B23" s="509"/>
      <c r="C23" s="525" t="s">
        <v>207</v>
      </c>
      <c r="D23" s="525"/>
      <c r="E23" s="525"/>
      <c r="F23" s="253">
        <v>263000</v>
      </c>
      <c r="G23" s="251" t="s">
        <v>212</v>
      </c>
      <c r="H23" s="306"/>
      <c r="I23" s="251" t="s">
        <v>242</v>
      </c>
      <c r="J23" s="253">
        <f t="shared" si="1"/>
        <v>0</v>
      </c>
      <c r="K23" s="251" t="s">
        <v>203</v>
      </c>
      <c r="L23" s="254"/>
      <c r="M23" s="251" t="s">
        <v>203</v>
      </c>
    </row>
    <row r="24" spans="1:13" x14ac:dyDescent="0.2">
      <c r="A24" s="509"/>
      <c r="B24" s="509"/>
      <c r="C24" s="525" t="s">
        <v>208</v>
      </c>
      <c r="D24" s="525"/>
      <c r="E24" s="525"/>
      <c r="F24" s="253">
        <v>57000</v>
      </c>
      <c r="G24" s="251" t="s">
        <v>213</v>
      </c>
      <c r="H24" s="306"/>
      <c r="I24" s="251" t="s">
        <v>214</v>
      </c>
      <c r="J24" s="253">
        <f t="shared" si="1"/>
        <v>0</v>
      </c>
      <c r="K24" s="251" t="s">
        <v>203</v>
      </c>
      <c r="L24" s="254"/>
      <c r="M24" s="251" t="s">
        <v>203</v>
      </c>
    </row>
    <row r="25" spans="1:13" x14ac:dyDescent="0.2">
      <c r="A25" s="509"/>
      <c r="B25" s="509"/>
      <c r="C25" s="525" t="s">
        <v>209</v>
      </c>
      <c r="D25" s="525"/>
      <c r="E25" s="525"/>
      <c r="F25" s="251" t="s">
        <v>216</v>
      </c>
      <c r="G25" s="251" t="s">
        <v>216</v>
      </c>
      <c r="H25" s="306"/>
      <c r="I25" s="251" t="s">
        <v>215</v>
      </c>
      <c r="J25" s="518" t="s">
        <v>235</v>
      </c>
      <c r="K25" s="519"/>
      <c r="L25" s="254"/>
      <c r="M25" s="251" t="s">
        <v>203</v>
      </c>
    </row>
    <row r="26" spans="1:13" x14ac:dyDescent="0.2">
      <c r="A26" s="509"/>
      <c r="B26" s="509"/>
      <c r="C26" s="525" t="s">
        <v>210</v>
      </c>
      <c r="D26" s="525"/>
      <c r="E26" s="525"/>
      <c r="F26" s="251" t="s">
        <v>216</v>
      </c>
      <c r="G26" s="251" t="s">
        <v>216</v>
      </c>
      <c r="H26" s="306"/>
      <c r="I26" s="251" t="s">
        <v>215</v>
      </c>
      <c r="J26" s="520"/>
      <c r="K26" s="521"/>
      <c r="L26" s="254"/>
      <c r="M26" s="251" t="s">
        <v>203</v>
      </c>
    </row>
    <row r="27" spans="1:13" ht="13.5" thickBot="1" x14ac:dyDescent="0.25">
      <c r="A27" s="509"/>
      <c r="B27" s="510"/>
      <c r="C27" s="524" t="s">
        <v>211</v>
      </c>
      <c r="D27" s="524"/>
      <c r="E27" s="524"/>
      <c r="F27" s="255" t="s">
        <v>216</v>
      </c>
      <c r="G27" s="255" t="s">
        <v>216</v>
      </c>
      <c r="H27" s="307"/>
      <c r="I27" s="255" t="s">
        <v>215</v>
      </c>
      <c r="J27" s="522"/>
      <c r="K27" s="523"/>
      <c r="L27" s="259"/>
      <c r="M27" s="255" t="s">
        <v>203</v>
      </c>
    </row>
    <row r="28" spans="1:13" ht="3" customHeight="1" thickTop="1" thickBot="1" x14ac:dyDescent="0.25">
      <c r="A28" s="509"/>
      <c r="B28" s="515"/>
      <c r="C28" s="515"/>
      <c r="D28" s="515"/>
      <c r="E28" s="515"/>
      <c r="F28" s="515"/>
      <c r="G28" s="515"/>
      <c r="H28" s="515"/>
      <c r="I28" s="516"/>
      <c r="J28" s="268"/>
      <c r="K28" s="261"/>
      <c r="L28" s="268"/>
      <c r="M28" s="262"/>
    </row>
    <row r="29" spans="1:13" ht="13.5" thickBot="1" x14ac:dyDescent="0.25">
      <c r="A29" s="509"/>
      <c r="B29" s="511" t="s">
        <v>220</v>
      </c>
      <c r="C29" s="511"/>
      <c r="D29" s="511"/>
      <c r="E29" s="511"/>
      <c r="F29" s="511"/>
      <c r="G29" s="511"/>
      <c r="H29" s="511"/>
      <c r="I29" s="512"/>
      <c r="J29" s="269"/>
      <c r="K29" s="264" t="s">
        <v>203</v>
      </c>
      <c r="L29" s="263">
        <f>SUM(L21:L27)</f>
        <v>0</v>
      </c>
      <c r="M29" s="265" t="s">
        <v>203</v>
      </c>
    </row>
    <row r="30" spans="1:13" x14ac:dyDescent="0.2">
      <c r="A30" s="492"/>
      <c r="B30" s="493"/>
      <c r="C30" s="493"/>
      <c r="D30" s="493"/>
      <c r="E30" s="493"/>
      <c r="F30" s="493"/>
      <c r="G30" s="493"/>
      <c r="H30" s="493"/>
      <c r="I30" s="493"/>
      <c r="J30" s="517"/>
      <c r="K30" s="493"/>
      <c r="L30" s="517"/>
      <c r="M30" s="494"/>
    </row>
    <row r="31" spans="1:13" ht="20.149999999999999" customHeight="1" x14ac:dyDescent="0.2">
      <c r="A31" s="506" t="s">
        <v>252</v>
      </c>
      <c r="B31" s="507"/>
      <c r="C31" s="508"/>
      <c r="D31" s="497" t="s">
        <v>250</v>
      </c>
      <c r="E31" s="498"/>
      <c r="F31" s="498"/>
      <c r="G31" s="498"/>
      <c r="H31" s="498"/>
      <c r="I31" s="498"/>
      <c r="J31" s="498"/>
      <c r="K31" s="499"/>
      <c r="L31" s="253">
        <f>IF(AND($J$20&gt;0,$L$20&gt;0)=FALSE,0,IF(OR(判定!$C$4,判定!$D$4)=FALSE,ROUNDDOWN(MIN(J20,L20)*0.23,0),ROUNDDOWN(MIN(J20,L20)*0.23,0)))</f>
        <v>0</v>
      </c>
      <c r="M31" s="251" t="s">
        <v>203</v>
      </c>
    </row>
    <row r="32" spans="1:13" ht="20.149999999999999" customHeight="1" x14ac:dyDescent="0.2">
      <c r="A32" s="506" t="s">
        <v>253</v>
      </c>
      <c r="B32" s="507"/>
      <c r="C32" s="508"/>
      <c r="D32" s="497" t="s">
        <v>251</v>
      </c>
      <c r="E32" s="498"/>
      <c r="F32" s="498"/>
      <c r="G32" s="498"/>
      <c r="H32" s="498"/>
      <c r="I32" s="498"/>
      <c r="J32" s="498"/>
      <c r="K32" s="499"/>
      <c r="L32" s="253">
        <f>IF(AND($J$29&gt;0,$L$29&gt;0)=FALSE,0,IF(OR(判定!$C$4,判定!$D$4)=FALSE,ROUNDDOWN(MIN(J29,L29)*0.23,0),ROUNDDOWN(MIN(J29,L29)*0.23,0)))</f>
        <v>0</v>
      </c>
      <c r="M32" s="251" t="s">
        <v>203</v>
      </c>
    </row>
    <row r="33" spans="1:13" ht="20.149999999999999" customHeight="1" x14ac:dyDescent="0.2">
      <c r="A33" s="506" t="s">
        <v>255</v>
      </c>
      <c r="B33" s="507"/>
      <c r="C33" s="508"/>
      <c r="D33" s="500" t="s">
        <v>281</v>
      </c>
      <c r="E33" s="501"/>
      <c r="F33" s="501"/>
      <c r="G33" s="501"/>
      <c r="H33" s="501"/>
      <c r="I33" s="501"/>
      <c r="J33" s="501"/>
      <c r="K33" s="502"/>
      <c r="L33" s="253">
        <f>IF(OR(判定!$C$4,判定!$D$4)=FALSE,MIN(ROUNDDOWN(IF(L31&gt;L32,L31+L32,L31*2),-3),766000),MIN(ROUNDDOWN(IF(L31&gt;L32,L31+L32,L31*2),-3),950000))</f>
        <v>0</v>
      </c>
      <c r="M33" s="251" t="s">
        <v>203</v>
      </c>
    </row>
    <row r="34" spans="1:13" ht="20.149999999999999" customHeight="1" thickBot="1" x14ac:dyDescent="0.25">
      <c r="A34" s="506" t="s">
        <v>259</v>
      </c>
      <c r="B34" s="507"/>
      <c r="C34" s="508"/>
      <c r="D34" s="503" t="s">
        <v>258</v>
      </c>
      <c r="E34" s="504"/>
      <c r="F34" s="504"/>
      <c r="G34" s="504"/>
      <c r="H34" s="504"/>
      <c r="I34" s="504"/>
      <c r="J34" s="504"/>
      <c r="K34" s="505"/>
      <c r="L34" s="270"/>
      <c r="M34" s="255" t="s">
        <v>203</v>
      </c>
    </row>
    <row r="35" spans="1:13" ht="20.149999999999999" customHeight="1" thickBot="1" x14ac:dyDescent="0.25">
      <c r="A35" s="489" t="s">
        <v>257</v>
      </c>
      <c r="B35" s="490"/>
      <c r="C35" s="491"/>
      <c r="D35" s="489" t="s">
        <v>254</v>
      </c>
      <c r="E35" s="490"/>
      <c r="F35" s="490"/>
      <c r="G35" s="490"/>
      <c r="H35" s="490"/>
      <c r="I35" s="490"/>
      <c r="J35" s="490"/>
      <c r="K35" s="490"/>
      <c r="L35" s="263">
        <f>IF(OR($L$33&lt;$L$34,$L$34&gt;200000),"　　　error",ROUNDDOWN(L33+L34,-3))</f>
        <v>0</v>
      </c>
      <c r="M35" s="271" t="s">
        <v>203</v>
      </c>
    </row>
    <row r="36" spans="1:13" ht="55" customHeight="1" x14ac:dyDescent="0.2">
      <c r="A36" s="513" t="s">
        <v>296</v>
      </c>
      <c r="B36" s="504"/>
      <c r="C36" s="504"/>
      <c r="D36" s="504"/>
      <c r="E36" s="504"/>
      <c r="F36" s="504"/>
      <c r="G36" s="504"/>
      <c r="H36" s="504"/>
      <c r="I36" s="504"/>
      <c r="J36" s="504"/>
      <c r="K36" s="504"/>
      <c r="L36" s="514"/>
      <c r="M36" s="505"/>
    </row>
    <row r="37" spans="1:13" x14ac:dyDescent="0.2">
      <c r="M37" s="204" t="s">
        <v>256</v>
      </c>
    </row>
  </sheetData>
  <sheetProtection sheet="1" selectLockedCells="1"/>
  <mergeCells count="42">
    <mergeCell ref="A36:M36"/>
    <mergeCell ref="B19:I19"/>
    <mergeCell ref="B28:I28"/>
    <mergeCell ref="A30:M30"/>
    <mergeCell ref="J25:K27"/>
    <mergeCell ref="C27:E27"/>
    <mergeCell ref="B21:B27"/>
    <mergeCell ref="A21:A29"/>
    <mergeCell ref="B29:I29"/>
    <mergeCell ref="C21:E21"/>
    <mergeCell ref="C22:E22"/>
    <mergeCell ref="C23:E23"/>
    <mergeCell ref="C24:E24"/>
    <mergeCell ref="C25:E25"/>
    <mergeCell ref="C26:E26"/>
    <mergeCell ref="D35:K35"/>
    <mergeCell ref="L4:M4"/>
    <mergeCell ref="D17:D18"/>
    <mergeCell ref="B5:B12"/>
    <mergeCell ref="B13:C18"/>
    <mergeCell ref="A5:A20"/>
    <mergeCell ref="B20:I20"/>
    <mergeCell ref="D8:D10"/>
    <mergeCell ref="D11:D12"/>
    <mergeCell ref="C11:C12"/>
    <mergeCell ref="C5:C10"/>
    <mergeCell ref="D13:D14"/>
    <mergeCell ref="D15:D16"/>
    <mergeCell ref="D5:D7"/>
    <mergeCell ref="A35:C35"/>
    <mergeCell ref="A4:D4"/>
    <mergeCell ref="E4:G4"/>
    <mergeCell ref="H4:I4"/>
    <mergeCell ref="J4:K4"/>
    <mergeCell ref="D31:K31"/>
    <mergeCell ref="D32:K32"/>
    <mergeCell ref="D33:K33"/>
    <mergeCell ref="D34:K34"/>
    <mergeCell ref="A31:C31"/>
    <mergeCell ref="A32:C32"/>
    <mergeCell ref="A33:C33"/>
    <mergeCell ref="A34:C34"/>
  </mergeCells>
  <phoneticPr fontId="1"/>
  <pageMargins left="0.7" right="0.7" top="0.75" bottom="0.75" header="0.3" footer="0.3"/>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Zeros="0" view="pageBreakPreview" zoomScale="120" zoomScaleNormal="100" zoomScaleSheetLayoutView="120" workbookViewId="0">
      <selection activeCell="H5" sqref="H5"/>
    </sheetView>
  </sheetViews>
  <sheetFormatPr defaultColWidth="8.90625" defaultRowHeight="13" x14ac:dyDescent="0.2"/>
  <cols>
    <col min="1" max="7" width="11.36328125" style="204" customWidth="1"/>
    <col min="8" max="8" width="8.6328125" style="204" customWidth="1"/>
    <col min="9" max="9" width="5.6328125" style="204" customWidth="1"/>
    <col min="10" max="10" width="10.6328125" style="204" customWidth="1"/>
    <col min="11" max="11" width="8.90625" style="204"/>
    <col min="12" max="12" width="10.6328125" style="204" customWidth="1"/>
    <col min="13" max="13" width="5.6328125" style="204" customWidth="1"/>
    <col min="14" max="16384" width="8.90625" style="204"/>
  </cols>
  <sheetData>
    <row r="1" spans="1:13" x14ac:dyDescent="0.2">
      <c r="A1" s="204" t="s">
        <v>240</v>
      </c>
    </row>
    <row r="3" spans="1:13" x14ac:dyDescent="0.2">
      <c r="A3" s="204" t="s">
        <v>222</v>
      </c>
    </row>
    <row r="4" spans="1:13" ht="13.4" customHeight="1" x14ac:dyDescent="0.2">
      <c r="A4" s="509" t="s">
        <v>183</v>
      </c>
      <c r="B4" s="509"/>
      <c r="C4" s="509"/>
      <c r="D4" s="509"/>
      <c r="E4" s="509" t="s">
        <v>186</v>
      </c>
      <c r="F4" s="509"/>
      <c r="G4" s="509"/>
      <c r="H4" s="492" t="s">
        <v>187</v>
      </c>
      <c r="I4" s="494"/>
      <c r="J4" s="495" t="s">
        <v>188</v>
      </c>
      <c r="K4" s="496"/>
      <c r="L4" s="492" t="s">
        <v>189</v>
      </c>
      <c r="M4" s="494"/>
    </row>
    <row r="5" spans="1:13" x14ac:dyDescent="0.2">
      <c r="A5" s="509" t="s">
        <v>217</v>
      </c>
      <c r="B5" s="509" t="s">
        <v>184</v>
      </c>
      <c r="C5" s="509" t="s">
        <v>42</v>
      </c>
      <c r="D5" s="509" t="s">
        <v>100</v>
      </c>
      <c r="E5" s="251" t="s">
        <v>192</v>
      </c>
      <c r="F5" s="252">
        <v>96000</v>
      </c>
      <c r="G5" s="251" t="s">
        <v>195</v>
      </c>
      <c r="H5" s="304"/>
      <c r="I5" s="251" t="s">
        <v>196</v>
      </c>
      <c r="J5" s="253">
        <f>F5*H5</f>
        <v>0</v>
      </c>
      <c r="K5" s="251" t="s">
        <v>203</v>
      </c>
      <c r="L5" s="254"/>
      <c r="M5" s="251" t="s">
        <v>203</v>
      </c>
    </row>
    <row r="6" spans="1:13" x14ac:dyDescent="0.2">
      <c r="A6" s="509"/>
      <c r="B6" s="509"/>
      <c r="C6" s="509"/>
      <c r="D6" s="509"/>
      <c r="E6" s="251" t="s">
        <v>193</v>
      </c>
      <c r="F6" s="252">
        <v>72000</v>
      </c>
      <c r="G6" s="251" t="s">
        <v>195</v>
      </c>
      <c r="H6" s="304"/>
      <c r="I6" s="251" t="s">
        <v>196</v>
      </c>
      <c r="J6" s="253">
        <f t="shared" ref="J6:J18" si="0">F6*H6</f>
        <v>0</v>
      </c>
      <c r="K6" s="251" t="s">
        <v>203</v>
      </c>
      <c r="L6" s="254"/>
      <c r="M6" s="251" t="s">
        <v>203</v>
      </c>
    </row>
    <row r="7" spans="1:13" x14ac:dyDescent="0.2">
      <c r="A7" s="509"/>
      <c r="B7" s="509"/>
      <c r="C7" s="509"/>
      <c r="D7" s="509"/>
      <c r="E7" s="251" t="s">
        <v>194</v>
      </c>
      <c r="F7" s="252">
        <v>24000</v>
      </c>
      <c r="G7" s="251" t="s">
        <v>195</v>
      </c>
      <c r="H7" s="304"/>
      <c r="I7" s="251" t="s">
        <v>196</v>
      </c>
      <c r="J7" s="253">
        <f t="shared" si="0"/>
        <v>0</v>
      </c>
      <c r="K7" s="251" t="s">
        <v>203</v>
      </c>
      <c r="L7" s="254"/>
      <c r="M7" s="251" t="s">
        <v>203</v>
      </c>
    </row>
    <row r="8" spans="1:13" x14ac:dyDescent="0.2">
      <c r="A8" s="509"/>
      <c r="B8" s="509"/>
      <c r="C8" s="509"/>
      <c r="D8" s="509" t="s">
        <v>190</v>
      </c>
      <c r="E8" s="251" t="s">
        <v>192</v>
      </c>
      <c r="F8" s="252">
        <v>248000</v>
      </c>
      <c r="G8" s="251" t="s">
        <v>202</v>
      </c>
      <c r="H8" s="304"/>
      <c r="I8" s="251" t="s">
        <v>44</v>
      </c>
      <c r="J8" s="253">
        <f t="shared" si="0"/>
        <v>0</v>
      </c>
      <c r="K8" s="251" t="s">
        <v>203</v>
      </c>
      <c r="L8" s="254"/>
      <c r="M8" s="251" t="s">
        <v>203</v>
      </c>
    </row>
    <row r="9" spans="1:13" x14ac:dyDescent="0.2">
      <c r="A9" s="509"/>
      <c r="B9" s="509"/>
      <c r="C9" s="509"/>
      <c r="D9" s="509"/>
      <c r="E9" s="251" t="s">
        <v>193</v>
      </c>
      <c r="F9" s="252">
        <v>192000</v>
      </c>
      <c r="G9" s="251" t="s">
        <v>202</v>
      </c>
      <c r="H9" s="304"/>
      <c r="I9" s="251" t="s">
        <v>44</v>
      </c>
      <c r="J9" s="253">
        <f t="shared" si="0"/>
        <v>0</v>
      </c>
      <c r="K9" s="251" t="s">
        <v>203</v>
      </c>
      <c r="L9" s="254"/>
      <c r="M9" s="251" t="s">
        <v>203</v>
      </c>
    </row>
    <row r="10" spans="1:13" x14ac:dyDescent="0.2">
      <c r="A10" s="509"/>
      <c r="B10" s="509"/>
      <c r="C10" s="509"/>
      <c r="D10" s="509"/>
      <c r="E10" s="251" t="s">
        <v>194</v>
      </c>
      <c r="F10" s="252">
        <v>160000</v>
      </c>
      <c r="G10" s="251" t="s">
        <v>202</v>
      </c>
      <c r="H10" s="304"/>
      <c r="I10" s="251" t="s">
        <v>44</v>
      </c>
      <c r="J10" s="253">
        <f t="shared" si="0"/>
        <v>0</v>
      </c>
      <c r="K10" s="251" t="s">
        <v>203</v>
      </c>
      <c r="L10" s="254"/>
      <c r="M10" s="251" t="s">
        <v>203</v>
      </c>
    </row>
    <row r="11" spans="1:13" x14ac:dyDescent="0.2">
      <c r="A11" s="509"/>
      <c r="B11" s="509"/>
      <c r="C11" s="509" t="s">
        <v>185</v>
      </c>
      <c r="D11" s="509" t="s">
        <v>191</v>
      </c>
      <c r="E11" s="251" t="s">
        <v>192</v>
      </c>
      <c r="F11" s="252">
        <v>360000</v>
      </c>
      <c r="G11" s="251" t="s">
        <v>202</v>
      </c>
      <c r="H11" s="304"/>
      <c r="I11" s="251" t="s">
        <v>44</v>
      </c>
      <c r="J11" s="253">
        <f t="shared" si="0"/>
        <v>0</v>
      </c>
      <c r="K11" s="251" t="s">
        <v>203</v>
      </c>
      <c r="L11" s="254"/>
      <c r="M11" s="251" t="s">
        <v>203</v>
      </c>
    </row>
    <row r="12" spans="1:13" x14ac:dyDescent="0.2">
      <c r="A12" s="509"/>
      <c r="B12" s="509"/>
      <c r="C12" s="509"/>
      <c r="D12" s="509"/>
      <c r="E12" s="251" t="s">
        <v>194</v>
      </c>
      <c r="F12" s="252">
        <v>320000</v>
      </c>
      <c r="G12" s="251" t="s">
        <v>202</v>
      </c>
      <c r="H12" s="304"/>
      <c r="I12" s="251" t="s">
        <v>44</v>
      </c>
      <c r="J12" s="253">
        <f t="shared" si="0"/>
        <v>0</v>
      </c>
      <c r="K12" s="251" t="s">
        <v>203</v>
      </c>
      <c r="L12" s="254"/>
      <c r="M12" s="251" t="s">
        <v>203</v>
      </c>
    </row>
    <row r="13" spans="1:13" x14ac:dyDescent="0.2">
      <c r="A13" s="509"/>
      <c r="B13" s="509" t="s">
        <v>201</v>
      </c>
      <c r="C13" s="509"/>
      <c r="D13" s="509" t="s">
        <v>197</v>
      </c>
      <c r="E13" s="251" t="s">
        <v>199</v>
      </c>
      <c r="F13" s="252">
        <v>201000</v>
      </c>
      <c r="G13" s="251" t="s">
        <v>278</v>
      </c>
      <c r="H13" s="304"/>
      <c r="I13" s="251" t="s">
        <v>279</v>
      </c>
      <c r="J13" s="253">
        <f t="shared" si="0"/>
        <v>0</v>
      </c>
      <c r="K13" s="251" t="s">
        <v>203</v>
      </c>
      <c r="L13" s="254"/>
      <c r="M13" s="251" t="s">
        <v>203</v>
      </c>
    </row>
    <row r="14" spans="1:13" x14ac:dyDescent="0.2">
      <c r="A14" s="509"/>
      <c r="B14" s="509"/>
      <c r="C14" s="509"/>
      <c r="D14" s="509"/>
      <c r="E14" s="251" t="s">
        <v>200</v>
      </c>
      <c r="F14" s="252">
        <v>302000</v>
      </c>
      <c r="G14" s="251" t="s">
        <v>278</v>
      </c>
      <c r="H14" s="304"/>
      <c r="I14" s="251" t="s">
        <v>279</v>
      </c>
      <c r="J14" s="253">
        <f t="shared" si="0"/>
        <v>0</v>
      </c>
      <c r="K14" s="251" t="s">
        <v>203</v>
      </c>
      <c r="L14" s="254"/>
      <c r="M14" s="251" t="s">
        <v>203</v>
      </c>
    </row>
    <row r="15" spans="1:13" x14ac:dyDescent="0.2">
      <c r="A15" s="509"/>
      <c r="B15" s="509"/>
      <c r="C15" s="509"/>
      <c r="D15" s="509" t="s">
        <v>198</v>
      </c>
      <c r="E15" s="251" t="s">
        <v>199</v>
      </c>
      <c r="F15" s="252">
        <v>72000</v>
      </c>
      <c r="G15" s="251" t="s">
        <v>278</v>
      </c>
      <c r="H15" s="304"/>
      <c r="I15" s="251" t="s">
        <v>279</v>
      </c>
      <c r="J15" s="253">
        <f t="shared" si="0"/>
        <v>0</v>
      </c>
      <c r="K15" s="251" t="s">
        <v>203</v>
      </c>
      <c r="L15" s="254"/>
      <c r="M15" s="251" t="s">
        <v>203</v>
      </c>
    </row>
    <row r="16" spans="1:13" x14ac:dyDescent="0.2">
      <c r="A16" s="509"/>
      <c r="B16" s="509"/>
      <c r="C16" s="509"/>
      <c r="D16" s="509"/>
      <c r="E16" s="251" t="s">
        <v>200</v>
      </c>
      <c r="F16" s="252">
        <v>123000</v>
      </c>
      <c r="G16" s="251" t="s">
        <v>278</v>
      </c>
      <c r="H16" s="304"/>
      <c r="I16" s="251" t="s">
        <v>279</v>
      </c>
      <c r="J16" s="253">
        <f t="shared" si="0"/>
        <v>0</v>
      </c>
      <c r="K16" s="251" t="s">
        <v>203</v>
      </c>
      <c r="L16" s="254"/>
      <c r="M16" s="251" t="s">
        <v>203</v>
      </c>
    </row>
    <row r="17" spans="1:13" x14ac:dyDescent="0.2">
      <c r="A17" s="509"/>
      <c r="B17" s="509"/>
      <c r="C17" s="509"/>
      <c r="D17" s="509" t="s">
        <v>59</v>
      </c>
      <c r="E17" s="251" t="s">
        <v>199</v>
      </c>
      <c r="F17" s="252">
        <v>245000</v>
      </c>
      <c r="G17" s="251" t="s">
        <v>278</v>
      </c>
      <c r="H17" s="304"/>
      <c r="I17" s="251" t="s">
        <v>279</v>
      </c>
      <c r="J17" s="253">
        <f t="shared" si="0"/>
        <v>0</v>
      </c>
      <c r="K17" s="251" t="s">
        <v>203</v>
      </c>
      <c r="L17" s="254"/>
      <c r="M17" s="251" t="s">
        <v>203</v>
      </c>
    </row>
    <row r="18" spans="1:13" ht="13.5" thickBot="1" x14ac:dyDescent="0.25">
      <c r="A18" s="509"/>
      <c r="B18" s="510"/>
      <c r="C18" s="510"/>
      <c r="D18" s="510"/>
      <c r="E18" s="255" t="s">
        <v>200</v>
      </c>
      <c r="F18" s="256">
        <v>368000</v>
      </c>
      <c r="G18" s="255" t="s">
        <v>278</v>
      </c>
      <c r="H18" s="305"/>
      <c r="I18" s="255" t="s">
        <v>279</v>
      </c>
      <c r="J18" s="272">
        <f t="shared" si="0"/>
        <v>0</v>
      </c>
      <c r="K18" s="255" t="s">
        <v>203</v>
      </c>
      <c r="L18" s="270"/>
      <c r="M18" s="255" t="s">
        <v>203</v>
      </c>
    </row>
    <row r="19" spans="1:13" ht="3" customHeight="1" thickTop="1" thickBot="1" x14ac:dyDescent="0.25">
      <c r="A19" s="509"/>
      <c r="B19" s="515"/>
      <c r="C19" s="515"/>
      <c r="D19" s="515"/>
      <c r="E19" s="515"/>
      <c r="F19" s="515"/>
      <c r="G19" s="515"/>
      <c r="H19" s="515"/>
      <c r="I19" s="516"/>
      <c r="J19" s="268"/>
      <c r="K19" s="261"/>
      <c r="L19" s="268"/>
      <c r="M19" s="262"/>
    </row>
    <row r="20" spans="1:13" ht="13.5" thickBot="1" x14ac:dyDescent="0.25">
      <c r="A20" s="509"/>
      <c r="B20" s="511" t="s">
        <v>219</v>
      </c>
      <c r="C20" s="511"/>
      <c r="D20" s="511"/>
      <c r="E20" s="511"/>
      <c r="F20" s="511"/>
      <c r="G20" s="511"/>
      <c r="H20" s="511"/>
      <c r="I20" s="512"/>
      <c r="J20" s="263">
        <f>SUM(J5:J18)</f>
        <v>0</v>
      </c>
      <c r="K20" s="264" t="s">
        <v>203</v>
      </c>
      <c r="L20" s="263">
        <f>SUM(L5:L18)</f>
        <v>0</v>
      </c>
      <c r="M20" s="265" t="s">
        <v>203</v>
      </c>
    </row>
    <row r="21" spans="1:13" x14ac:dyDescent="0.2">
      <c r="A21" s="509" t="s">
        <v>218</v>
      </c>
      <c r="B21" s="509" t="s">
        <v>204</v>
      </c>
      <c r="C21" s="525" t="s">
        <v>205</v>
      </c>
      <c r="D21" s="525"/>
      <c r="E21" s="525"/>
      <c r="F21" s="253">
        <v>452000</v>
      </c>
      <c r="G21" s="251" t="s">
        <v>212</v>
      </c>
      <c r="H21" s="304"/>
      <c r="I21" s="251" t="s">
        <v>241</v>
      </c>
      <c r="J21" s="266">
        <f>F21*H21</f>
        <v>0</v>
      </c>
      <c r="K21" s="251" t="s">
        <v>203</v>
      </c>
      <c r="L21" s="267"/>
      <c r="M21" s="251" t="s">
        <v>203</v>
      </c>
    </row>
    <row r="22" spans="1:13" x14ac:dyDescent="0.2">
      <c r="A22" s="509"/>
      <c r="B22" s="509"/>
      <c r="C22" s="525" t="s">
        <v>206</v>
      </c>
      <c r="D22" s="525"/>
      <c r="E22" s="525"/>
      <c r="F22" s="253">
        <v>416000</v>
      </c>
      <c r="G22" s="251" t="s">
        <v>212</v>
      </c>
      <c r="H22" s="304"/>
      <c r="I22" s="251" t="s">
        <v>241</v>
      </c>
      <c r="J22" s="253">
        <f t="shared" ref="J22:J24" si="1">F22*H22</f>
        <v>0</v>
      </c>
      <c r="K22" s="251" t="s">
        <v>203</v>
      </c>
      <c r="L22" s="254"/>
      <c r="M22" s="251" t="s">
        <v>203</v>
      </c>
    </row>
    <row r="23" spans="1:13" x14ac:dyDescent="0.2">
      <c r="A23" s="509"/>
      <c r="B23" s="509"/>
      <c r="C23" s="525" t="s">
        <v>207</v>
      </c>
      <c r="D23" s="525"/>
      <c r="E23" s="525"/>
      <c r="F23" s="253">
        <v>263000</v>
      </c>
      <c r="G23" s="251" t="s">
        <v>212</v>
      </c>
      <c r="H23" s="304"/>
      <c r="I23" s="251" t="s">
        <v>241</v>
      </c>
      <c r="J23" s="253">
        <f t="shared" si="1"/>
        <v>0</v>
      </c>
      <c r="K23" s="251" t="s">
        <v>203</v>
      </c>
      <c r="L23" s="254"/>
      <c r="M23" s="251" t="s">
        <v>203</v>
      </c>
    </row>
    <row r="24" spans="1:13" x14ac:dyDescent="0.2">
      <c r="A24" s="509"/>
      <c r="B24" s="509"/>
      <c r="C24" s="525" t="s">
        <v>208</v>
      </c>
      <c r="D24" s="525"/>
      <c r="E24" s="525"/>
      <c r="F24" s="253">
        <v>57000</v>
      </c>
      <c r="G24" s="251" t="s">
        <v>213</v>
      </c>
      <c r="H24" s="304"/>
      <c r="I24" s="251" t="s">
        <v>214</v>
      </c>
      <c r="J24" s="253">
        <f t="shared" si="1"/>
        <v>0</v>
      </c>
      <c r="K24" s="251" t="s">
        <v>203</v>
      </c>
      <c r="L24" s="254"/>
      <c r="M24" s="251" t="s">
        <v>203</v>
      </c>
    </row>
    <row r="25" spans="1:13" ht="13.5" customHeight="1" x14ac:dyDescent="0.2">
      <c r="A25" s="509"/>
      <c r="B25" s="509"/>
      <c r="C25" s="525" t="s">
        <v>209</v>
      </c>
      <c r="D25" s="525"/>
      <c r="E25" s="525"/>
      <c r="F25" s="247" t="s">
        <v>216</v>
      </c>
      <c r="G25" s="251" t="s">
        <v>216</v>
      </c>
      <c r="H25" s="304"/>
      <c r="I25" s="251" t="s">
        <v>215</v>
      </c>
      <c r="J25" s="518" t="s">
        <v>235</v>
      </c>
      <c r="K25" s="519"/>
      <c r="L25" s="254"/>
      <c r="M25" s="251" t="s">
        <v>203</v>
      </c>
    </row>
    <row r="26" spans="1:13" x14ac:dyDescent="0.2">
      <c r="A26" s="509"/>
      <c r="B26" s="509"/>
      <c r="C26" s="525" t="s">
        <v>210</v>
      </c>
      <c r="D26" s="525"/>
      <c r="E26" s="525"/>
      <c r="F26" s="251" t="s">
        <v>216</v>
      </c>
      <c r="G26" s="251" t="s">
        <v>216</v>
      </c>
      <c r="H26" s="304"/>
      <c r="I26" s="251" t="s">
        <v>215</v>
      </c>
      <c r="J26" s="520"/>
      <c r="K26" s="521"/>
      <c r="L26" s="254"/>
      <c r="M26" s="251" t="s">
        <v>203</v>
      </c>
    </row>
    <row r="27" spans="1:13" ht="13.5" thickBot="1" x14ac:dyDescent="0.25">
      <c r="A27" s="509"/>
      <c r="B27" s="510"/>
      <c r="C27" s="524" t="s">
        <v>211</v>
      </c>
      <c r="D27" s="524"/>
      <c r="E27" s="524"/>
      <c r="F27" s="255" t="s">
        <v>216</v>
      </c>
      <c r="G27" s="255" t="s">
        <v>216</v>
      </c>
      <c r="H27" s="305"/>
      <c r="I27" s="255" t="s">
        <v>215</v>
      </c>
      <c r="J27" s="520"/>
      <c r="K27" s="521"/>
      <c r="L27" s="270"/>
      <c r="M27" s="255" t="s">
        <v>203</v>
      </c>
    </row>
    <row r="28" spans="1:13" ht="3" customHeight="1" thickTop="1" thickBot="1" x14ac:dyDescent="0.25">
      <c r="A28" s="509"/>
      <c r="B28" s="515"/>
      <c r="C28" s="515"/>
      <c r="D28" s="515"/>
      <c r="E28" s="515"/>
      <c r="F28" s="515"/>
      <c r="G28" s="515"/>
      <c r="H28" s="515"/>
      <c r="I28" s="516"/>
      <c r="J28" s="268"/>
      <c r="K28" s="261"/>
      <c r="L28" s="268"/>
      <c r="M28" s="262"/>
    </row>
    <row r="29" spans="1:13" ht="13.5" thickBot="1" x14ac:dyDescent="0.25">
      <c r="A29" s="509"/>
      <c r="B29" s="511" t="s">
        <v>220</v>
      </c>
      <c r="C29" s="511"/>
      <c r="D29" s="511"/>
      <c r="E29" s="511"/>
      <c r="F29" s="511"/>
      <c r="G29" s="511"/>
      <c r="H29" s="511"/>
      <c r="I29" s="512"/>
      <c r="J29" s="269"/>
      <c r="K29" s="264" t="s">
        <v>203</v>
      </c>
      <c r="L29" s="263">
        <f>SUM(L21:L27)</f>
        <v>0</v>
      </c>
      <c r="M29" s="265" t="s">
        <v>203</v>
      </c>
    </row>
    <row r="30" spans="1:13" x14ac:dyDescent="0.2">
      <c r="A30" s="492"/>
      <c r="B30" s="493"/>
      <c r="C30" s="493"/>
      <c r="D30" s="493"/>
      <c r="E30" s="493"/>
      <c r="F30" s="493"/>
      <c r="G30" s="493"/>
      <c r="H30" s="493"/>
      <c r="I30" s="493"/>
      <c r="J30" s="517"/>
      <c r="K30" s="493"/>
      <c r="L30" s="517"/>
      <c r="M30" s="494"/>
    </row>
    <row r="31" spans="1:13" ht="20.149999999999999" customHeight="1" x14ac:dyDescent="0.2">
      <c r="A31" s="506" t="s">
        <v>252</v>
      </c>
      <c r="B31" s="507"/>
      <c r="C31" s="508"/>
      <c r="D31" s="497" t="s">
        <v>250</v>
      </c>
      <c r="E31" s="498"/>
      <c r="F31" s="498"/>
      <c r="G31" s="498"/>
      <c r="H31" s="498"/>
      <c r="I31" s="498"/>
      <c r="J31" s="498"/>
      <c r="K31" s="499"/>
      <c r="L31" s="253">
        <f>IF(AND($J$20&gt;0,$L$20&gt;0)=FALSE,0,IF(OR(判定!$C$4,判定!$D$4)=FALSE,ROUNDDOWN(MIN(J20,L20)*0.23,0),ROUNDDOWN(MIN(J20,L20)*0.23,0)))</f>
        <v>0</v>
      </c>
      <c r="M31" s="251" t="s">
        <v>203</v>
      </c>
    </row>
    <row r="32" spans="1:13" ht="20.149999999999999" customHeight="1" x14ac:dyDescent="0.2">
      <c r="A32" s="506" t="s">
        <v>253</v>
      </c>
      <c r="B32" s="507"/>
      <c r="C32" s="508"/>
      <c r="D32" s="497" t="s">
        <v>251</v>
      </c>
      <c r="E32" s="498"/>
      <c r="F32" s="498"/>
      <c r="G32" s="498"/>
      <c r="H32" s="498"/>
      <c r="I32" s="498"/>
      <c r="J32" s="498"/>
      <c r="K32" s="499"/>
      <c r="L32" s="253">
        <f>IF(AND($J$29&gt;0,$L$29&gt;0)=FALSE,0,IF(OR(判定!$C$4,判定!$D$4)=FALSE,ROUNDDOWN(MIN(J29,L29)*0.23,0),ROUNDDOWN(MIN(J29,L29)*0.23,0)))</f>
        <v>0</v>
      </c>
      <c r="M32" s="251" t="s">
        <v>203</v>
      </c>
    </row>
    <row r="33" spans="1:13" ht="20.149999999999999" customHeight="1" x14ac:dyDescent="0.2">
      <c r="A33" s="506" t="s">
        <v>255</v>
      </c>
      <c r="B33" s="507"/>
      <c r="C33" s="508"/>
      <c r="D33" s="500" t="s">
        <v>280</v>
      </c>
      <c r="E33" s="501"/>
      <c r="F33" s="501"/>
      <c r="G33" s="501"/>
      <c r="H33" s="501"/>
      <c r="I33" s="501"/>
      <c r="J33" s="501"/>
      <c r="K33" s="502"/>
      <c r="L33" s="253">
        <f>IF(OR(判定!$C$4,判定!$D$4)=FALSE,MIN(ROUNDDOWN(IF(L31&gt;L32,L31+L32,L31*2),-3),1025000),MIN(ROUNDDOWN(IF(L31&gt;L32,L31+L32,L31*2),-3),1200000))</f>
        <v>0</v>
      </c>
      <c r="M33" s="251" t="s">
        <v>203</v>
      </c>
    </row>
    <row r="34" spans="1:13" ht="20.149999999999999" customHeight="1" thickBot="1" x14ac:dyDescent="0.25">
      <c r="A34" s="506" t="s">
        <v>259</v>
      </c>
      <c r="B34" s="507"/>
      <c r="C34" s="508"/>
      <c r="D34" s="503" t="s">
        <v>258</v>
      </c>
      <c r="E34" s="504"/>
      <c r="F34" s="504"/>
      <c r="G34" s="504"/>
      <c r="H34" s="504"/>
      <c r="I34" s="504"/>
      <c r="J34" s="504"/>
      <c r="K34" s="505"/>
      <c r="L34" s="270"/>
      <c r="M34" s="255" t="s">
        <v>203</v>
      </c>
    </row>
    <row r="35" spans="1:13" ht="20.149999999999999" customHeight="1" thickBot="1" x14ac:dyDescent="0.25">
      <c r="A35" s="489" t="s">
        <v>257</v>
      </c>
      <c r="B35" s="490"/>
      <c r="C35" s="491"/>
      <c r="D35" s="489" t="s">
        <v>254</v>
      </c>
      <c r="E35" s="490"/>
      <c r="F35" s="490"/>
      <c r="G35" s="490"/>
      <c r="H35" s="490"/>
      <c r="I35" s="490"/>
      <c r="J35" s="490"/>
      <c r="K35" s="490"/>
      <c r="L35" s="263">
        <f>IF(OR($L$33&lt;$L$34,$L$34&gt;200000),"　　　error",ROUNDDOWN(L33+L34,-3))</f>
        <v>0</v>
      </c>
      <c r="M35" s="271" t="s">
        <v>203</v>
      </c>
    </row>
    <row r="36" spans="1:13" ht="55" customHeight="1" x14ac:dyDescent="0.2">
      <c r="A36" s="513" t="s">
        <v>297</v>
      </c>
      <c r="B36" s="504"/>
      <c r="C36" s="504"/>
      <c r="D36" s="504"/>
      <c r="E36" s="504"/>
      <c r="F36" s="504"/>
      <c r="G36" s="504"/>
      <c r="H36" s="504"/>
      <c r="I36" s="504"/>
      <c r="J36" s="504"/>
      <c r="K36" s="504"/>
      <c r="L36" s="514"/>
      <c r="M36" s="505"/>
    </row>
  </sheetData>
  <sheetProtection sheet="1" selectLockedCells="1"/>
  <mergeCells count="42">
    <mergeCell ref="B19:I19"/>
    <mergeCell ref="B28:I28"/>
    <mergeCell ref="H4:I4"/>
    <mergeCell ref="C5:C10"/>
    <mergeCell ref="D5:D7"/>
    <mergeCell ref="D8:D10"/>
    <mergeCell ref="A4:D4"/>
    <mergeCell ref="E4:G4"/>
    <mergeCell ref="J4:K4"/>
    <mergeCell ref="C27:E27"/>
    <mergeCell ref="A5:A20"/>
    <mergeCell ref="B29:I29"/>
    <mergeCell ref="A30:M30"/>
    <mergeCell ref="B20:I20"/>
    <mergeCell ref="C25:E25"/>
    <mergeCell ref="C26:E26"/>
    <mergeCell ref="L4:M4"/>
    <mergeCell ref="C11:C12"/>
    <mergeCell ref="D11:D12"/>
    <mergeCell ref="B13:C18"/>
    <mergeCell ref="D13:D14"/>
    <mergeCell ref="D15:D16"/>
    <mergeCell ref="D17:D18"/>
    <mergeCell ref="B5:B12"/>
    <mergeCell ref="A31:C31"/>
    <mergeCell ref="D31:K31"/>
    <mergeCell ref="J25:K27"/>
    <mergeCell ref="A21:A29"/>
    <mergeCell ref="B21:B27"/>
    <mergeCell ref="C21:E21"/>
    <mergeCell ref="C22:E22"/>
    <mergeCell ref="C23:E23"/>
    <mergeCell ref="C24:E24"/>
    <mergeCell ref="A35:C35"/>
    <mergeCell ref="D35:K35"/>
    <mergeCell ref="A36:M36"/>
    <mergeCell ref="A32:C32"/>
    <mergeCell ref="D32:K32"/>
    <mergeCell ref="A33:C33"/>
    <mergeCell ref="D33:K33"/>
    <mergeCell ref="A34:C34"/>
    <mergeCell ref="D34:K34"/>
  </mergeCells>
  <phoneticPr fontId="1"/>
  <pageMargins left="0.7" right="0.7" top="0.75" bottom="0.75" header="0.3" footer="0.3"/>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様式１</vt:lpstr>
      <vt:lpstr>判定</vt:lpstr>
      <vt:lpstr>様式１－１</vt:lpstr>
      <vt:lpstr>計算（様式1-1）</vt:lpstr>
      <vt:lpstr>様式１－２</vt:lpstr>
      <vt:lpstr>計算（様式1-2）</vt:lpstr>
      <vt:lpstr>補助金確認（診断）</vt:lpstr>
      <vt:lpstr>補助金額確認（省エネ）</vt:lpstr>
      <vt:lpstr>補助金額確認（ZEH）</vt:lpstr>
      <vt:lpstr>'補助金額確認（省エネ）'!Print_Area</vt:lpstr>
      <vt:lpstr>様式１!Print_Area</vt:lpstr>
      <vt:lpstr>'様式１－１'!Print_Area</vt:lpstr>
      <vt:lpstr>'様式１－２'!Print_Area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2023-08-29T07:31:37Z</dcterms:modified>
</cp:coreProperties>
</file>