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4.77.163\2013\006 要綱・要領\R06\17　20250327_福島県総合評価方式実施要領の運用\04 HP\"/>
    </mc:Choice>
  </mc:AlternateContent>
  <xr:revisionPtr revIDLastSave="0" documentId="13_ncr:1_{568D8C90-6F44-4B7E-9E48-F9E7E9517AD0}" xr6:coauthVersionLast="47" xr6:coauthVersionMax="47" xr10:uidLastSave="{00000000-0000-0000-0000-000000000000}"/>
  <workbookProtection workbookPassword="B050" lockStructure="1"/>
  <bookViews>
    <workbookView xWindow="28680" yWindow="-120" windowWidth="29040" windowHeight="15720" tabRatio="763" xr2:uid="{00000000-000D-0000-FFFF-FFFF00000000}"/>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T121" i="2" l="1"/>
  <c r="AT114" i="2"/>
  <c r="AT112" i="2" s="1"/>
  <c r="AU121" i="2" l="1"/>
  <c r="AU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X114" i="2"/>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W112" i="2" s="1"/>
  <c r="V111" i="2"/>
  <c r="V110" i="2"/>
  <c r="AE112" i="2" l="1"/>
  <c r="AB113" i="2"/>
  <c r="AB114" i="2"/>
  <c r="Z114" i="2"/>
  <c r="Z113" i="2"/>
  <c r="Y113" i="2"/>
  <c r="Y114" i="2"/>
  <c r="AE113" i="2"/>
  <c r="AE114" i="2"/>
  <c r="AE117" i="2"/>
  <c r="AE118" i="2" s="1"/>
  <c r="AB118" i="2"/>
  <c r="AE115" i="2"/>
  <c r="AE116" i="2" s="1"/>
  <c r="AB116" i="2"/>
  <c r="W115" i="2"/>
  <c r="W117" i="2" s="1"/>
  <c r="W119" i="2" s="1"/>
  <c r="Z121" i="2"/>
  <c r="AE119" i="2"/>
  <c r="AE120" i="2" s="1"/>
  <c r="AB121" i="2"/>
  <c r="Y121" i="2"/>
  <c r="AE121" i="2" l="1"/>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Q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O116" i="2"/>
  <c r="AQ107" i="2"/>
  <c r="AO111" i="2"/>
  <c r="AQ111" i="2" s="1"/>
  <c r="F111" i="2" s="1"/>
  <c r="AT100" i="2"/>
  <c r="AT103" i="2"/>
  <c r="AT102" i="2"/>
  <c r="AT101" i="2"/>
  <c r="AS102" i="2"/>
  <c r="AS101" i="2"/>
  <c r="AS100" i="2"/>
  <c r="AS103" i="2"/>
  <c r="AK121" i="2"/>
  <c r="AL121" i="2"/>
  <c r="AO113" i="2" l="1"/>
  <c r="AN113" i="2"/>
  <c r="AO114" i="2"/>
  <c r="AN114" i="2"/>
  <c r="AN121" i="2"/>
  <c r="AQ115" i="2"/>
  <c r="AO120" i="2"/>
  <c r="AQ117" i="2"/>
  <c r="AO121" i="2"/>
  <c r="AT104" i="2"/>
  <c r="AS104" i="2"/>
  <c r="AS109" i="2" s="1"/>
  <c r="K107" i="2"/>
  <c r="AQ119" i="2" l="1"/>
  <c r="AS119" i="2" s="1"/>
  <c r="AQ112" i="2"/>
  <c r="F112" i="2" s="1"/>
  <c r="F110" i="2"/>
  <c r="F100" i="2"/>
  <c r="B108" i="2" s="1"/>
  <c r="AT105" i="2"/>
  <c r="AR119" i="2" l="1"/>
  <c r="AT119" i="2" s="1"/>
  <c r="F119" i="2" s="1"/>
  <c r="AS112" i="2"/>
  <c r="AR112" i="2"/>
  <c r="AT106" i="2"/>
  <c r="F117" i="2" l="1"/>
  <c r="F115" i="2"/>
  <c r="V48" i="2" l="1"/>
  <c r="D23" i="5" s="1"/>
</calcChain>
</file>

<file path=xl/sharedStrings.xml><?xml version="1.0" encoding="utf-8"?>
<sst xmlns="http://schemas.openxmlformats.org/spreadsheetml/2006/main" count="838" uniqueCount="475">
  <si>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</si>
  <si>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</si>
  <si>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</si>
  <si>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</si>
  <si>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</si>
  <si>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</si>
  <si>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</si>
  <si>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</si>
  <si>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</si>
  <si>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</si>
  <si>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</si>
  <si>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</si>
  <si>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</si>
  <si>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</si>
  <si>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</si>
  <si>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</si>
  <si>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</si>
  <si>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</si>
  <si>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</si>
  <si>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</si>
  <si>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</si>
  <si>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</si>
  <si>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</si>
  <si>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</si>
  <si>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</si>
  <si>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</si>
  <si>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</si>
  <si>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</si>
  <si>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</si>
  <si>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</si>
  <si>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</si>
  <si>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</si>
  <si>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</si>
  <si>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</si>
  <si>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</si>
  <si>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</si>
  <si>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</si>
  <si>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</si>
  <si>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</si>
  <si>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</si>
  <si>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</si>
  <si>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</si>
  <si>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</si>
  <si>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</si>
  <si>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</si>
  <si>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</si>
  <si>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</si>
  <si>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</si>
  <si>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</si>
  <si>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</si>
  <si>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</si>
  <si>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</si>
  <si>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</si>
  <si>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</si>
  <si>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</si>
  <si>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</si>
  <si>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</si>
  <si>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</si>
  <si>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</si>
  <si>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</si>
  <si>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</si>
  <si>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</si>
  <si>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</si>
  <si>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</si>
  <si>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</si>
  <si>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</si>
  <si>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</si>
  <si>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</si>
  <si>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</si>
  <si>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</si>
  <si>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</si>
  <si>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</si>
  <si>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</si>
  <si>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</si>
  <si>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</si>
  <si>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</si>
  <si>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</si>
  <si>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</si>
  <si>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</si>
  <si>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</si>
  <si>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</si>
  <si>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</si>
  <si>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</si>
  <si>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</si>
  <si>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</si>
  <si>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</si>
  <si>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</si>
  <si>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</si>
  <si>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</si>
  <si>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</si>
  <si>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</si>
  <si>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</si>
  <si>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</si>
  <si>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</si>
  <si>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</si>
  <si>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</si>
  <si>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</si>
  <si>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</si>
  <si>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</si>
  <si>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</si>
  <si>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</si>
  <si>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</si>
  <si>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</si>
  <si>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</si>
  <si>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</si>
  <si>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</si>
  <si>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</si>
  <si>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</si>
  <si>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</si>
  <si>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</si>
  <si>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</si>
  <si>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</si>
  <si>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</si>
  <si>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</si>
  <si>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</si>
  <si>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</si>
  <si>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</si>
  <si>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</si>
  <si>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</si>
  <si>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</si>
  <si>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</si>
  <si>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</si>
  <si>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</si>
  <si>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</si>
  <si>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</si>
  <si>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</si>
  <si>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</si>
  <si>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</si>
  <si>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</si>
  <si>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</si>
  <si>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</si>
  <si>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</si>
  <si>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</si>
  <si>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</si>
  <si>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</si>
  <si>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</si>
  <si>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</si>
  <si>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</si>
  <si>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</si>
  <si>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</si>
  <si>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</si>
  <si>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</si>
  <si>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</si>
  <si>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</si>
  <si>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</si>
  <si>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</si>
  <si>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</si>
  <si>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</si>
  <si>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</si>
  <si>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</si>
  <si>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</si>
  <si>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</si>
  <si>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</si>
  <si>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</si>
  <si>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</si>
  <si>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</si>
  <si>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</si>
  <si>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</si>
  <si>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</si>
  <si>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</si>
  <si>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</si>
  <si>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</si>
  <si>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</si>
  <si>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</si>
  <si>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</si>
  <si>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</si>
  <si>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</si>
  <si>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</si>
  <si>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</si>
  <si>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</si>
  <si>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</si>
  <si>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</si>
  <si>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</si>
  <si>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</si>
  <si>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</si>
  <si>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</si>
  <si>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</si>
  <si>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</si>
  <si>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</si>
  <si>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</si>
  <si>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</si>
  <si>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</si>
  <si>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</si>
  <si>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</si>
  <si>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</si>
  <si>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</si>
  <si>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</si>
  <si>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</si>
  <si>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</si>
  <si>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</si>
  <si>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</si>
  <si>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</si>
  <si>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</si>
  <si>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</si>
  <si>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</si>
  <si>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</si>
  <si>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</si>
  <si>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</si>
  <si>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</si>
  <si>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</si>
  <si>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</si>
  <si>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</si>
  <si>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</si>
  <si>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</si>
  <si>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</si>
  <si>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</si>
  <si>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</si>
  <si>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</si>
  <si>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</si>
  <si>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</si>
  <si>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</si>
  <si>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</si>
  <si>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</si>
  <si>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</si>
  <si>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</si>
  <si>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</si>
  <si>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</si>
  <si>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</si>
  <si>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</si>
  <si>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</si>
  <si>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</si>
  <si>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</si>
  <si>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</si>
  <si>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</si>
  <si>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</si>
  <si>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</si>
  <si>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</si>
  <si>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</si>
  <si>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</si>
  <si>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</si>
  <si>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</si>
  <si>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</si>
  <si>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</si>
  <si>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</si>
  <si>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</si>
  <si>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</si>
  <si>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</si>
  <si>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</si>
  <si>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</si>
  <si>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</si>
  <si>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</si>
  <si>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</si>
  <si>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</si>
  <si>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</si>
  <si>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</si>
  <si>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</si>
  <si>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</si>
  <si>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</si>
  <si>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</si>
  <si>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</si>
  <si>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</si>
  <si>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</si>
  <si>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</si>
  <si>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</si>
  <si>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</si>
  <si>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</si>
  <si>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</si>
  <si>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</si>
  <si>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</si>
  <si>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</si>
  <si>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</si>
  <si>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</si>
  <si>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</si>
  <si>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</si>
  <si>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</si>
  <si>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</si>
  <si>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</si>
  <si>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</si>
  <si>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</si>
  <si>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</si>
  <si>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</si>
  <si>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</si>
  <si>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</si>
  <si>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</si>
  <si>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</si>
  <si>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</si>
  <si>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</si>
  <si>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</si>
  <si>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</si>
  <si>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</si>
  <si>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</si>
  <si>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</si>
  <si>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</si>
  <si>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</si>
  <si>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</si>
  <si>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</si>
  <si>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</si>
  <si>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</si>
  <si>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</si>
  <si>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</si>
  <si>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</si>
  <si>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</si>
  <si>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</si>
  <si>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</si>
  <si>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</si>
  <si>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</si>
  <si>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</si>
  <si>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</si>
  <si>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</si>
  <si>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</si>
  <si>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</si>
  <si>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</si>
  <si>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</si>
  <si>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</si>
  <si>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</si>
  <si>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</si>
  <si>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</si>
  <si>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</si>
  <si>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</si>
  <si>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</si>
  <si>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</si>
  <si>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</si>
  <si>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</si>
  <si>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</si>
  <si>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</si>
  <si>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</si>
  <si>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CPD加入(登録)又はポイント
初回取得年月日(1年以上前）</t>
    <rPh sb="3" eb="5">
      <t>カニュウ</t>
    </rPh>
    <rPh sb="6" eb="8">
      <t>トウロク</t>
    </rPh>
    <rPh sb="9" eb="10">
      <t>マタ</t>
    </rPh>
    <rPh sb="16" eb="18">
      <t>ショカイ</t>
    </rPh>
    <rPh sb="18" eb="20">
      <t>シュトク</t>
    </rPh>
    <rPh sb="20" eb="23">
      <t>ネンガッピ</t>
    </rPh>
    <rPh sb="25" eb="26">
      <t>ネン</t>
    </rPh>
    <rPh sb="26" eb="28">
      <t>イジョウ</t>
    </rPh>
    <rPh sb="28" eb="29">
      <t>マエ</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</si>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</sst>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3"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2"/>
      <name val="ＭＳ ゴシック"/>
      <family val="3"/>
      <charset val="128"/>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3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81" xfId="0" applyFont="1" applyBorder="1" applyAlignment="1">
      <alignment horizontal="justify" vertical="center"/>
    </xf>
    <xf numFmtId="0" fontId="47" fillId="0" borderId="71" xfId="0" applyFont="1" applyBorder="1">
      <alignment vertical="center"/>
    </xf>
    <xf numFmtId="0" fontId="38" fillId="0" borderId="71" xfId="0" applyFont="1" applyBorder="1">
      <alignment vertical="center"/>
    </xf>
    <xf numFmtId="0" fontId="20" fillId="0" borderId="82" xfId="0" applyFont="1" applyBorder="1">
      <alignment vertical="center"/>
    </xf>
    <xf numFmtId="0" fontId="22" fillId="0" borderId="46" xfId="0" applyFont="1" applyBorder="1" applyAlignment="1">
      <alignment horizontal="justify" vertical="center"/>
    </xf>
    <xf numFmtId="0" fontId="20" fillId="0" borderId="84" xfId="0" applyFont="1" applyBorder="1">
      <alignment vertical="center"/>
    </xf>
    <xf numFmtId="0" fontId="20" fillId="0" borderId="46" xfId="0" applyFont="1" applyBorder="1">
      <alignment vertical="center"/>
    </xf>
    <xf numFmtId="0" fontId="20" fillId="0" borderId="58" xfId="0" applyFont="1" applyBorder="1">
      <alignment vertical="center"/>
    </xf>
    <xf numFmtId="0" fontId="20" fillId="0" borderId="80" xfId="0" applyFont="1" applyBorder="1">
      <alignment vertical="center"/>
    </xf>
    <xf numFmtId="0" fontId="20" fillId="0" borderId="86"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7" xfId="0" applyFont="1" applyBorder="1" applyAlignment="1">
      <alignment horizontal="center" vertical="center" wrapText="1"/>
    </xf>
    <xf numFmtId="0" fontId="20" fillId="0" borderId="64"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7"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8"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60"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70" xfId="0" applyFont="1" applyBorder="1" applyAlignment="1">
      <alignment vertical="center" wrapText="1"/>
    </xf>
    <xf numFmtId="0" fontId="20" fillId="0" borderId="69"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8"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2"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60"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3" xfId="0" applyNumberFormat="1" applyFont="1" applyBorder="1">
      <alignment vertical="center"/>
    </xf>
    <xf numFmtId="181" fontId="44" fillId="0" borderId="51" xfId="0" applyNumberFormat="1" applyFont="1" applyBorder="1" applyAlignment="1">
      <alignment horizontal="right" vertical="center" wrapText="1"/>
    </xf>
    <xf numFmtId="0" fontId="20" fillId="0" borderId="59"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4"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8" xfId="0" applyFont="1" applyBorder="1">
      <alignment vertical="center"/>
    </xf>
    <xf numFmtId="0" fontId="0" fillId="0" borderId="18" xfId="0" applyBorder="1">
      <alignment vertical="center"/>
    </xf>
    <xf numFmtId="0" fontId="20" fillId="0" borderId="65"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6" xfId="0" applyFont="1" applyBorder="1" applyAlignment="1">
      <alignment horizontal="center" vertical="center" shrinkToFit="1"/>
    </xf>
    <xf numFmtId="0" fontId="20" fillId="0" borderId="67"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9" xfId="0" applyNumberFormat="1" applyFont="1" applyBorder="1" applyAlignment="1">
      <alignment horizontal="right" vertical="center" wrapText="1"/>
    </xf>
    <xf numFmtId="0" fontId="0" fillId="0" borderId="0" xfId="0" applyAlignment="1">
      <alignment wrapText="1"/>
    </xf>
    <xf numFmtId="0" fontId="30" fillId="0" borderId="102"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2" xfId="0" applyFont="1" applyBorder="1" applyAlignment="1">
      <alignment horizontal="center" vertical="center" wrapText="1"/>
    </xf>
    <xf numFmtId="0" fontId="27" fillId="0" borderId="62"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4"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3" xfId="0" applyFont="1" applyBorder="1" applyAlignment="1">
      <alignment horizontal="center" vertical="center" wrapText="1"/>
    </xf>
    <xf numFmtId="0" fontId="24" fillId="0" borderId="104"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5"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80" xfId="0" applyFont="1" applyBorder="1" applyAlignment="1">
      <alignment shrinkToFit="1"/>
    </xf>
    <xf numFmtId="0" fontId="66" fillId="37" borderId="0" xfId="0" applyFont="1" applyFill="1">
      <alignment vertical="center"/>
    </xf>
    <xf numFmtId="0" fontId="0" fillId="38" borderId="47" xfId="0" applyFill="1" applyBorder="1" applyAlignment="1">
      <alignment horizontal="center" vertical="center"/>
    </xf>
    <xf numFmtId="180" fontId="0" fillId="38" borderId="45" xfId="0" applyNumberFormat="1" applyFill="1" applyBorder="1">
      <alignment vertical="center"/>
    </xf>
    <xf numFmtId="180" fontId="20" fillId="38" borderId="48"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2"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42" xfId="0" applyNumberFormat="1" applyFont="1" applyBorder="1">
      <alignment vertical="center"/>
    </xf>
    <xf numFmtId="177" fontId="20" fillId="0" borderId="37" xfId="0" applyNumberFormat="1" applyFont="1" applyBorder="1">
      <alignment vertical="center"/>
    </xf>
    <xf numFmtId="177" fontId="20" fillId="0" borderId="106" xfId="0" applyNumberFormat="1" applyFont="1" applyBorder="1">
      <alignment vertical="center"/>
    </xf>
    <xf numFmtId="177" fontId="20" fillId="0" borderId="51" xfId="0" applyNumberFormat="1" applyFont="1" applyBorder="1">
      <alignment vertical="center"/>
    </xf>
    <xf numFmtId="177" fontId="20" fillId="0" borderId="107" xfId="0" applyNumberFormat="1" applyFont="1" applyBorder="1">
      <alignment vertical="center"/>
    </xf>
    <xf numFmtId="177" fontId="20" fillId="0" borderId="41" xfId="0" applyNumberFormat="1" applyFont="1" applyBorder="1">
      <alignment vertical="center"/>
    </xf>
    <xf numFmtId="177" fontId="20" fillId="0" borderId="108"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7" xfId="0" applyFont="1" applyBorder="1" applyAlignment="1">
      <alignment horizontal="justify" vertical="center"/>
    </xf>
    <xf numFmtId="49" fontId="54" fillId="35" borderId="50" xfId="0" applyNumberFormat="1" applyFont="1" applyFill="1" applyBorder="1" applyAlignment="1" applyProtection="1">
      <alignment vertical="center" wrapText="1"/>
      <protection locked="0"/>
    </xf>
    <xf numFmtId="176" fontId="24" fillId="0" borderId="110"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1" xfId="0" applyFont="1" applyBorder="1" applyAlignment="1">
      <alignment horizontal="left" wrapText="1" shrinkToFit="1"/>
    </xf>
    <xf numFmtId="0" fontId="20" fillId="0" borderId="56"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pplyAlignment="1">
      <alignment horizontal="right" vertical="center"/>
    </xf>
    <xf numFmtId="0" fontId="69" fillId="0" borderId="0" xfId="0" applyFont="1">
      <alignment vertical="center"/>
    </xf>
    <xf numFmtId="0" fontId="65" fillId="0" borderId="0" xfId="0" applyFont="1">
      <alignment vertical="center"/>
    </xf>
    <xf numFmtId="0" fontId="72" fillId="0" borderId="0" xfId="0" applyFont="1">
      <alignment vertical="center"/>
    </xf>
    <xf numFmtId="0" fontId="69" fillId="0" borderId="0" xfId="0" applyFont="1" applyAlignment="1">
      <alignment horizontal="left" vertical="center" indent="2"/>
    </xf>
    <xf numFmtId="0" fontId="40" fillId="0" borderId="0" xfId="0" applyFont="1" applyAlignment="1">
      <alignment horizontal="justify" vertical="center"/>
    </xf>
    <xf numFmtId="0" fontId="72" fillId="0" borderId="0" xfId="0" applyFont="1" applyAlignment="1">
      <alignment horizontal="justify" vertical="center"/>
    </xf>
    <xf numFmtId="0" fontId="74" fillId="0" borderId="0" xfId="0" applyFont="1" applyAlignment="1">
      <alignment horizontal="right" vertical="center"/>
    </xf>
    <xf numFmtId="0" fontId="72" fillId="0" borderId="0" xfId="0" applyFont="1" applyAlignment="1">
      <alignment horizontal="left" vertical="center"/>
    </xf>
    <xf numFmtId="0" fontId="72" fillId="0" borderId="0" xfId="0" applyFont="1" applyAlignment="1">
      <alignment vertical="center" shrinkToFit="1"/>
    </xf>
    <xf numFmtId="0" fontId="75" fillId="0" borderId="0" xfId="0" applyFont="1">
      <alignment vertical="center"/>
    </xf>
    <xf numFmtId="0" fontId="76" fillId="0" borderId="0" xfId="0" applyFont="1">
      <alignment vertical="center"/>
    </xf>
    <xf numFmtId="0" fontId="69" fillId="0" borderId="0" xfId="0" applyFont="1" applyAlignment="1">
      <alignment horizontal="left" vertical="center"/>
    </xf>
    <xf numFmtId="0" fontId="47" fillId="0" borderId="0" xfId="0" applyFont="1">
      <alignment vertical="center"/>
    </xf>
    <xf numFmtId="0" fontId="69" fillId="0" borderId="0" xfId="0" applyFont="1" applyAlignment="1">
      <alignment horizontal="right" vertical="top"/>
    </xf>
    <xf numFmtId="0" fontId="77" fillId="0" borderId="0" xfId="0" applyFont="1" applyAlignment="1">
      <alignment horizontal="left" vertical="top" wrapText="1"/>
    </xf>
    <xf numFmtId="0" fontId="0" fillId="0" borderId="0" xfId="0" applyAlignment="1">
      <alignment horizontal="right" vertical="center"/>
    </xf>
    <xf numFmtId="183" fontId="27" fillId="35" borderId="103" xfId="0" quotePrefix="1" applyNumberFormat="1" applyFont="1" applyFill="1" applyBorder="1" applyAlignment="1" applyProtection="1">
      <alignment horizontal="center" vertical="center" wrapText="1"/>
      <protection locked="0"/>
    </xf>
    <xf numFmtId="0" fontId="20" fillId="0" borderId="116" xfId="0" applyFont="1" applyBorder="1" applyAlignment="1">
      <alignment horizontal="center" vertical="center" shrinkToFit="1"/>
    </xf>
    <xf numFmtId="0" fontId="20" fillId="0" borderId="117"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8" xfId="0" applyNumberFormat="1" applyFont="1" applyBorder="1" applyAlignment="1">
      <alignment horizontal="right" vertical="center" shrinkToFit="1"/>
    </xf>
    <xf numFmtId="180" fontId="37" fillId="0" borderId="118" xfId="0" applyNumberFormat="1" applyFont="1" applyBorder="1" applyAlignment="1">
      <alignment vertical="center" wrapText="1"/>
    </xf>
    <xf numFmtId="0" fontId="20" fillId="0" borderId="55" xfId="0" applyFont="1" applyBorder="1">
      <alignment vertical="center"/>
    </xf>
    <xf numFmtId="0" fontId="37" fillId="0" borderId="55" xfId="0" applyFont="1" applyBorder="1" applyAlignment="1">
      <alignment vertical="center" wrapText="1"/>
    </xf>
    <xf numFmtId="0" fontId="20" fillId="0" borderId="119" xfId="0" applyFont="1" applyBorder="1" applyAlignment="1">
      <alignment horizontal="center" vertical="center" shrinkToFit="1"/>
    </xf>
    <xf numFmtId="0" fontId="20" fillId="0" borderId="120" xfId="0" applyFont="1" applyBorder="1" applyAlignment="1">
      <alignment horizontal="right" vertical="center" shrinkToFit="1"/>
    </xf>
    <xf numFmtId="0" fontId="37" fillId="0" borderId="121" xfId="0" applyFont="1" applyBorder="1" applyAlignment="1">
      <alignment horizontal="right" vertical="center" shrinkToFit="1"/>
    </xf>
    <xf numFmtId="177" fontId="20" fillId="0" borderId="122" xfId="0" applyNumberFormat="1" applyFont="1" applyBorder="1" applyAlignment="1">
      <alignment horizontal="right" vertical="center" shrinkToFit="1"/>
    </xf>
    <xf numFmtId="177" fontId="20" fillId="0" borderId="55" xfId="0" applyNumberFormat="1" applyFont="1" applyBorder="1" applyAlignment="1">
      <alignment horizontal="right" vertical="center" shrinkToFit="1"/>
    </xf>
    <xf numFmtId="180" fontId="37" fillId="0" borderId="123" xfId="0" applyNumberFormat="1" applyFont="1" applyBorder="1" applyAlignment="1">
      <alignment vertical="center" wrapText="1"/>
    </xf>
    <xf numFmtId="180" fontId="37" fillId="0" borderId="55" xfId="0" applyNumberFormat="1" applyFont="1" applyBorder="1" applyAlignment="1">
      <alignment vertical="center" wrapText="1"/>
    </xf>
    <xf numFmtId="0" fontId="20" fillId="0" borderId="51" xfId="0" applyFont="1" applyBorder="1">
      <alignment vertical="center"/>
    </xf>
    <xf numFmtId="0" fontId="37" fillId="0" borderId="51" xfId="0" applyFont="1" applyBorder="1" applyAlignment="1">
      <alignment vertical="center" wrapText="1"/>
    </xf>
    <xf numFmtId="0" fontId="20" fillId="0" borderId="124" xfId="0" applyFont="1" applyBorder="1" applyAlignment="1">
      <alignment horizontal="center" vertical="center" shrinkToFit="1"/>
    </xf>
    <xf numFmtId="0" fontId="20" fillId="0" borderId="125" xfId="0" applyFont="1" applyBorder="1" applyAlignment="1">
      <alignment horizontal="right" vertical="center" shrinkToFit="1"/>
    </xf>
    <xf numFmtId="0" fontId="37" fillId="0" borderId="126" xfId="0" applyFont="1" applyBorder="1" applyAlignment="1">
      <alignment horizontal="right" vertical="center" shrinkToFit="1"/>
    </xf>
    <xf numFmtId="0" fontId="20" fillId="0" borderId="126" xfId="0" applyFont="1" applyBorder="1" applyAlignment="1">
      <alignment horizontal="right" vertical="center" shrinkToFit="1"/>
    </xf>
    <xf numFmtId="177" fontId="20" fillId="0" borderId="127" xfId="0" applyNumberFormat="1" applyFont="1" applyBorder="1" applyAlignment="1">
      <alignment horizontal="right" vertical="center" shrinkToFit="1"/>
    </xf>
    <xf numFmtId="177" fontId="20" fillId="0" borderId="51" xfId="0" applyNumberFormat="1" applyFont="1" applyBorder="1" applyAlignment="1">
      <alignment horizontal="right" vertical="center" shrinkToFit="1"/>
    </xf>
    <xf numFmtId="180" fontId="37" fillId="0" borderId="127" xfId="0" applyNumberFormat="1" applyFont="1" applyBorder="1" applyAlignment="1">
      <alignment vertical="center" wrapText="1"/>
    </xf>
    <xf numFmtId="180" fontId="37" fillId="0" borderId="51" xfId="0" applyNumberFormat="1" applyFont="1" applyBorder="1" applyAlignment="1">
      <alignment vertical="center" wrapText="1"/>
    </xf>
    <xf numFmtId="177" fontId="20" fillId="0" borderId="129" xfId="0" applyNumberFormat="1" applyFont="1" applyBorder="1">
      <alignment vertical="center"/>
    </xf>
    <xf numFmtId="177" fontId="20" fillId="0" borderId="20" xfId="0" applyNumberFormat="1" applyFont="1" applyBorder="1">
      <alignment vertical="center"/>
    </xf>
    <xf numFmtId="177" fontId="20" fillId="0" borderId="69" xfId="0" applyNumberFormat="1" applyFont="1" applyBorder="1">
      <alignment vertical="center"/>
    </xf>
    <xf numFmtId="180" fontId="44" fillId="0" borderId="51" xfId="0" applyNumberFormat="1" applyFont="1" applyBorder="1" applyAlignment="1">
      <alignment vertical="center" wrapText="1"/>
    </xf>
    <xf numFmtId="178" fontId="78" fillId="0" borderId="0" xfId="0" applyNumberFormat="1" applyFont="1" applyAlignment="1">
      <alignment horizontal="right" vertical="top"/>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5"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4" xfId="0" applyFont="1" applyFill="1" applyBorder="1" applyAlignment="1" applyProtection="1">
      <alignment horizontal="center" vertical="center" wrapText="1"/>
      <protection locked="0"/>
    </xf>
    <xf numFmtId="0" fontId="22" fillId="0" borderId="57" xfId="0" applyFont="1" applyBorder="1" applyAlignment="1">
      <alignment vertical="center" wrapText="1" shrinkToFit="1"/>
    </xf>
    <xf numFmtId="0" fontId="67"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180" fontId="20" fillId="0" borderId="131"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4" fillId="0" borderId="95"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105" xfId="0" quotePrefix="1"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35" borderId="98"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9"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5" fillId="0" borderId="0" xfId="0" applyFont="1" applyAlignment="1">
      <alignment horizontal="justify"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103" xfId="0" applyNumberFormat="1" applyFont="1" applyFill="1" applyBorder="1" applyAlignment="1" applyProtection="1">
      <alignment horizontal="center" vertical="center" shrinkToFit="1"/>
      <protection locked="0"/>
    </xf>
    <xf numFmtId="49" fontId="27" fillId="35" borderId="105" xfId="0" applyNumberFormat="1" applyFont="1" applyFill="1" applyBorder="1" applyAlignment="1" applyProtection="1">
      <alignment horizontal="center" vertical="center" shrinkToFit="1"/>
      <protection locked="0"/>
    </xf>
    <xf numFmtId="49" fontId="27" fillId="35" borderId="103" xfId="0" quotePrefix="1" applyNumberFormat="1" applyFont="1" applyFill="1" applyBorder="1" applyAlignment="1" applyProtection="1">
      <alignment horizontal="center" vertical="center" shrinkToFit="1"/>
      <protection locked="0"/>
    </xf>
    <xf numFmtId="0" fontId="22" fillId="0" borderId="44" xfId="0" applyFont="1" applyBorder="1" applyAlignment="1">
      <alignment horizontal="left" vertical="top" wrapText="1" shrinkToFit="1"/>
    </xf>
    <xf numFmtId="0" fontId="22" fillId="0" borderId="57"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103" xfId="0" applyFont="1" applyBorder="1" applyAlignment="1">
      <alignment horizontal="left" vertical="center" wrapText="1"/>
    </xf>
    <xf numFmtId="0" fontId="41" fillId="0" borderId="50"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27" fillId="0" borderId="12" xfId="0" applyFont="1" applyBorder="1" applyAlignment="1">
      <alignment horizontal="left" vertical="center" wrapText="1"/>
    </xf>
    <xf numFmtId="0" fontId="27" fillId="0" borderId="62" xfId="0" applyFont="1" applyBorder="1" applyAlignment="1">
      <alignment horizontal="left" vertical="center" wrapText="1"/>
    </xf>
    <xf numFmtId="0" fontId="30" fillId="0" borderId="12" xfId="0" applyFont="1" applyBorder="1" applyAlignment="1">
      <alignment horizontal="left" vertical="center"/>
    </xf>
    <xf numFmtId="0" fontId="30" fillId="0" borderId="62" xfId="0" applyFont="1" applyBorder="1" applyAlignment="1">
      <alignment horizontal="left" vertical="center"/>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01"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4" fillId="0" borderId="49"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24" fillId="36" borderId="58"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0" fontId="38" fillId="0" borderId="20"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4"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81" fillId="0" borderId="18" xfId="0" applyFont="1" applyBorder="1" applyAlignment="1">
      <alignment horizontal="left" wrapText="1"/>
    </xf>
    <xf numFmtId="0" fontId="81" fillId="0" borderId="19" xfId="0" applyFont="1" applyBorder="1" applyAlignment="1">
      <alignment horizontal="left" wrapText="1"/>
    </xf>
    <xf numFmtId="0" fontId="81" fillId="0" borderId="79"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9"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35" borderId="98"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9" xfId="0" quotePrefix="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25" fillId="0" borderId="23" xfId="0" applyFont="1" applyBorder="1" applyAlignment="1">
      <alignment horizontal="right" vertical="center" wrapText="1"/>
    </xf>
    <xf numFmtId="0" fontId="30" fillId="0" borderId="96" xfId="0" applyFont="1" applyBorder="1" applyAlignment="1">
      <alignment horizontal="center" vertical="center"/>
    </xf>
    <xf numFmtId="0" fontId="30" fillId="0" borderId="100" xfId="0" applyFont="1" applyBorder="1" applyAlignment="1">
      <alignment horizontal="center" vertical="center"/>
    </xf>
    <xf numFmtId="0" fontId="30" fillId="0" borderId="97" xfId="0" applyFont="1" applyBorder="1" applyAlignment="1">
      <alignment horizontal="center" vertical="center"/>
    </xf>
    <xf numFmtId="0" fontId="24" fillId="36" borderId="87" xfId="0" applyFont="1" applyFill="1" applyBorder="1" applyAlignment="1" applyProtection="1">
      <alignment horizontal="center" vertical="center" wrapText="1"/>
      <protection locked="0"/>
    </xf>
    <xf numFmtId="0" fontId="24" fillId="36" borderId="88" xfId="0" applyFont="1" applyFill="1" applyBorder="1" applyAlignment="1" applyProtection="1">
      <alignment horizontal="center" vertical="center" wrapText="1"/>
      <protection locked="0"/>
    </xf>
    <xf numFmtId="0" fontId="24" fillId="36" borderId="89"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2"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103" xfId="0" applyFont="1" applyBorder="1" applyAlignment="1">
      <alignment horizontal="center" vertical="center" wrapText="1"/>
    </xf>
    <xf numFmtId="0" fontId="54" fillId="0" borderId="105" xfId="0" applyFont="1" applyBorder="1" applyAlignment="1">
      <alignment horizontal="center" vertical="center" wrapText="1"/>
    </xf>
    <xf numFmtId="0" fontId="29" fillId="0" borderId="103" xfId="0" applyFont="1" applyBorder="1" applyAlignment="1">
      <alignment horizontal="right" vertical="center" wrapText="1"/>
    </xf>
    <xf numFmtId="0" fontId="29" fillId="0" borderId="50" xfId="0" applyFont="1" applyBorder="1" applyAlignment="1">
      <alignment horizontal="righ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7" fillId="0" borderId="10" xfId="0" applyFont="1" applyBorder="1" applyAlignment="1">
      <alignment horizontal="left" vertical="center" wrapText="1"/>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3" xfId="0" applyFont="1" applyBorder="1" applyAlignment="1">
      <alignment horizontal="center" vertical="center" textRotation="255"/>
    </xf>
    <xf numFmtId="0" fontId="38" fillId="0" borderId="77" xfId="0" applyFont="1" applyBorder="1" applyAlignment="1">
      <alignment horizontal="center" vertical="center" textRotation="255"/>
    </xf>
    <xf numFmtId="0" fontId="38" fillId="0" borderId="78"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2"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4"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4" xfId="0" applyNumberFormat="1" applyFont="1" applyBorder="1" applyAlignment="1">
      <alignment horizontal="center" vertical="center" wrapText="1"/>
    </xf>
    <xf numFmtId="0" fontId="27" fillId="0" borderId="74"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21" xfId="0" applyFont="1" applyBorder="1" applyAlignment="1">
      <alignment horizontal="left" vertical="center" wrapText="1"/>
    </xf>
    <xf numFmtId="0" fontId="24" fillId="0" borderId="72" xfId="0" applyFont="1" applyBorder="1" applyAlignment="1">
      <alignment horizontal="left" vertical="center" wrapText="1"/>
    </xf>
    <xf numFmtId="0" fontId="24" fillId="0" borderId="24"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2" xfId="0" applyFont="1" applyBorder="1" applyAlignment="1">
      <alignment horizontal="left" vertical="center" wrapText="1"/>
    </xf>
    <xf numFmtId="177" fontId="27" fillId="0" borderId="115"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27" fillId="0" borderId="0" xfId="0" applyFont="1" applyAlignment="1">
      <alignment horizontal="left" vertical="center" wrapText="1"/>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180" fontId="20" fillId="38" borderId="61" xfId="0" applyNumberFormat="1" applyFont="1" applyFill="1" applyBorder="1" applyAlignment="1">
      <alignment horizontal="right" vertical="center"/>
    </xf>
    <xf numFmtId="180" fontId="20" fillId="38" borderId="46" xfId="0" applyNumberFormat="1" applyFont="1" applyFill="1" applyBorder="1" applyAlignment="1">
      <alignment horizontal="right" vertical="center"/>
    </xf>
    <xf numFmtId="180" fontId="20" fillId="38" borderId="130" xfId="0" applyNumberFormat="1" applyFont="1" applyFill="1" applyBorder="1" applyAlignment="1">
      <alignment horizontal="right" vertical="center"/>
    </xf>
    <xf numFmtId="0" fontId="55" fillId="0" borderId="111" xfId="0" applyFont="1" applyBorder="1" applyAlignment="1">
      <alignment horizontal="left" vertical="center" wrapText="1"/>
    </xf>
    <xf numFmtId="0" fontId="55" fillId="0" borderId="112" xfId="0" applyFont="1" applyBorder="1" applyAlignment="1">
      <alignment horizontal="left" vertical="center" wrapText="1"/>
    </xf>
    <xf numFmtId="0" fontId="55" fillId="0" borderId="75" xfId="0" applyFont="1" applyBorder="1" applyAlignment="1">
      <alignment horizontal="left" vertical="center" wrapText="1"/>
    </xf>
    <xf numFmtId="0" fontId="55" fillId="0" borderId="93" xfId="0" applyFont="1" applyBorder="1" applyAlignment="1">
      <alignment horizontal="left" vertical="center" wrapText="1"/>
    </xf>
    <xf numFmtId="0" fontId="55" fillId="0" borderId="76" xfId="0" applyFont="1" applyBorder="1" applyAlignment="1">
      <alignment horizontal="left" vertical="center" wrapText="1"/>
    </xf>
    <xf numFmtId="180" fontId="20" fillId="38" borderId="49" xfId="0" applyNumberFormat="1" applyFont="1" applyFill="1" applyBorder="1" applyAlignment="1">
      <alignment horizontal="right" vertical="center"/>
    </xf>
    <xf numFmtId="180" fontId="20" fillId="38" borderId="57"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181" fontId="20" fillId="0" borderId="18" xfId="0" applyNumberFormat="1" applyFont="1" applyBorder="1" applyAlignment="1">
      <alignment horizontal="right" vertical="center"/>
    </xf>
    <xf numFmtId="181" fontId="20" fillId="0" borderId="55" xfId="0" applyNumberFormat="1" applyFont="1" applyBorder="1" applyAlignment="1">
      <alignment horizontal="right" vertical="center"/>
    </xf>
    <xf numFmtId="0" fontId="25" fillId="0" borderId="20" xfId="0" applyFont="1" applyBorder="1" applyAlignment="1">
      <alignment horizontal="left" vertical="center" wrapText="1"/>
    </xf>
    <xf numFmtId="0" fontId="25" fillId="36" borderId="98"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9" xfId="0" applyFont="1" applyFill="1" applyBorder="1" applyAlignment="1" applyProtection="1">
      <alignment horizontal="left" vertical="center" wrapText="1"/>
      <protection locked="0"/>
    </xf>
    <xf numFmtId="0" fontId="25" fillId="0" borderId="24" xfId="0" applyFont="1" applyBorder="1" applyAlignment="1">
      <alignment horizontal="left" vertical="center" wrapText="1"/>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0" fontId="25" fillId="0" borderId="0" xfId="0" applyFont="1" applyAlignment="1">
      <alignment horizontal="justify" wrapText="1"/>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0" borderId="44" xfId="0" applyFont="1" applyBorder="1" applyAlignment="1">
      <alignment horizontal="left" vertical="center" wrapText="1" shrinkToFit="1"/>
    </xf>
    <xf numFmtId="0" fontId="22" fillId="0" borderId="57" xfId="0" applyFont="1" applyBorder="1" applyAlignment="1">
      <alignment horizontal="left" vertical="center" wrapText="1" shrinkToFit="1"/>
    </xf>
    <xf numFmtId="0" fontId="71" fillId="0" borderId="0" xfId="0" applyFont="1" applyAlignment="1">
      <alignment horizontal="center" vertical="center"/>
    </xf>
    <xf numFmtId="58" fontId="72" fillId="0" borderId="0" xfId="0" applyNumberFormat="1" applyFont="1" applyAlignment="1">
      <alignment horizontal="right" vertical="center" indent="1"/>
    </xf>
    <xf numFmtId="0" fontId="73" fillId="0" borderId="0" xfId="0" applyFont="1" applyAlignment="1">
      <alignment horizontal="left" vertical="center" shrinkToFit="1"/>
    </xf>
    <xf numFmtId="0" fontId="73" fillId="0" borderId="0" xfId="0" applyFont="1" applyAlignment="1">
      <alignment horizontal="left" wrapText="1" shrinkToFit="1"/>
    </xf>
    <xf numFmtId="0" fontId="73" fillId="0" borderId="0" xfId="0" applyFont="1" applyAlignment="1">
      <alignment horizontal="left" indent="7"/>
    </xf>
    <xf numFmtId="0" fontId="73" fillId="0" borderId="0" xfId="0" applyFont="1" applyAlignment="1">
      <alignment horizontal="left" shrinkToFit="1"/>
    </xf>
    <xf numFmtId="0" fontId="27" fillId="0" borderId="11" xfId="0" applyFont="1" applyBorder="1" applyAlignment="1">
      <alignment horizontal="left" vertical="center" wrapText="1"/>
    </xf>
    <xf numFmtId="49" fontId="30" fillId="35" borderId="50" xfId="0" quotePrefix="1"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180" fontId="20" fillId="0" borderId="90" xfId="0" applyNumberFormat="1" applyFont="1" applyBorder="1" applyAlignment="1">
      <alignment horizontal="right" vertical="center"/>
    </xf>
    <xf numFmtId="180" fontId="20" fillId="0" borderId="109" xfId="0" applyNumberFormat="1" applyFont="1" applyBorder="1" applyAlignment="1">
      <alignment horizontal="right" vertical="center"/>
    </xf>
    <xf numFmtId="180" fontId="20" fillId="0" borderId="128"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73" fillId="0" borderId="0" xfId="0" applyFont="1" applyAlignment="1">
      <alignment horizontal="left" vertical="center" indent="7"/>
    </xf>
    <xf numFmtId="0" fontId="73" fillId="0" borderId="0" xfId="0" applyFont="1" applyAlignment="1">
      <alignment horizontal="left" vertical="top" indent="7"/>
    </xf>
    <xf numFmtId="185" fontId="73" fillId="0" borderId="0" xfId="0" applyNumberFormat="1" applyFont="1" applyAlignment="1">
      <alignment horizontal="left" vertical="center" shrinkToFit="1"/>
    </xf>
    <xf numFmtId="0" fontId="72" fillId="0" borderId="0" xfId="0" applyFont="1" applyAlignment="1">
      <alignment horizontal="left" vertical="top" wrapText="1"/>
    </xf>
    <xf numFmtId="176" fontId="24" fillId="35" borderId="81" xfId="0" applyNumberFormat="1" applyFont="1" applyFill="1" applyBorder="1" applyAlignment="1" applyProtection="1">
      <alignment horizontal="center" vertical="center" wrapText="1"/>
      <protection locked="0"/>
    </xf>
    <xf numFmtId="176" fontId="24" fillId="35" borderId="82" xfId="0" applyNumberFormat="1" applyFont="1" applyFill="1" applyBorder="1" applyAlignment="1" applyProtection="1">
      <alignment horizontal="center" vertical="center" wrapText="1"/>
      <protection locked="0"/>
    </xf>
    <xf numFmtId="176" fontId="22" fillId="39" borderId="95" xfId="0" applyNumberFormat="1" applyFont="1" applyFill="1" applyBorder="1" applyAlignment="1" applyProtection="1">
      <alignment horizontal="left" vertical="top" wrapText="1"/>
      <protection locked="0"/>
    </xf>
    <xf numFmtId="176" fontId="22" fillId="39" borderId="89"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3"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9" xfId="0" applyFont="1" applyBorder="1" applyAlignment="1">
      <alignment vertical="center" wrapText="1" shrinkToFit="1"/>
    </xf>
    <xf numFmtId="0" fontId="22" fillId="0" borderId="44" xfId="0" applyFont="1" applyBorder="1" applyAlignment="1">
      <alignment vertical="center" wrapText="1" shrinkToFit="1"/>
    </xf>
    <xf numFmtId="0" fontId="22" fillId="0" borderId="57" xfId="0" applyFont="1" applyBorder="1" applyAlignment="1">
      <alignment vertical="center" wrapText="1" shrinkToFit="1"/>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24" fillId="0" borderId="80" xfId="0" applyFont="1" applyBorder="1" applyAlignment="1">
      <alignment horizontal="right" wrapText="1"/>
    </xf>
    <xf numFmtId="0" fontId="24" fillId="0" borderId="80"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80" xfId="0" applyFont="1" applyBorder="1" applyAlignment="1">
      <alignment horizontal="left" shrinkToFit="1"/>
    </xf>
    <xf numFmtId="0" fontId="24" fillId="0" borderId="80" xfId="0" applyFont="1" applyBorder="1" applyAlignment="1">
      <alignment horizontal="left" shrinkToFit="1"/>
    </xf>
    <xf numFmtId="0" fontId="47" fillId="0" borderId="88" xfId="0" applyFont="1" applyBorder="1" applyAlignment="1">
      <alignment horizontal="left" vertical="center"/>
    </xf>
    <xf numFmtId="0" fontId="47" fillId="0" borderId="89" xfId="0" applyFont="1" applyBorder="1" applyAlignment="1">
      <alignment horizontal="left" vertical="center"/>
    </xf>
    <xf numFmtId="0" fontId="54" fillId="0" borderId="90" xfId="0" applyFont="1" applyBorder="1" applyAlignment="1">
      <alignment horizontal="center" vertical="top" wrapText="1"/>
    </xf>
    <xf numFmtId="0" fontId="54" fillId="0" borderId="109" xfId="0" applyFont="1" applyBorder="1" applyAlignment="1">
      <alignment horizontal="center" vertical="top" wrapText="1"/>
    </xf>
    <xf numFmtId="0" fontId="54" fillId="0" borderId="91"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35" borderId="92" xfId="0" applyFont="1" applyFill="1" applyBorder="1" applyAlignment="1" applyProtection="1">
      <alignment horizontal="left" vertical="top" wrapText="1"/>
      <protection locked="0"/>
    </xf>
    <xf numFmtId="0" fontId="54" fillId="35" borderId="80" xfId="0" applyFont="1" applyFill="1" applyBorder="1" applyAlignment="1" applyProtection="1">
      <alignment horizontal="left" vertical="top" wrapText="1"/>
      <protection locked="0"/>
    </xf>
    <xf numFmtId="0" fontId="54" fillId="35" borderId="86"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80" xfId="0" applyFont="1" applyBorder="1" applyAlignment="1">
      <alignment horizontal="center" shrinkToFit="1"/>
    </xf>
    <xf numFmtId="0" fontId="21" fillId="0" borderId="0" xfId="0" applyFont="1" applyAlignment="1">
      <alignment horizontal="left" wrapText="1"/>
    </xf>
    <xf numFmtId="0" fontId="30" fillId="0" borderId="80" xfId="0" applyFont="1" applyBorder="1" applyAlignment="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23" t="s">
        <v>318</v>
      </c>
      <c r="D1" s="323"/>
      <c r="E1" s="323"/>
      <c r="F1" s="323"/>
      <c r="H1" t="s">
        <v>474</v>
      </c>
    </row>
    <row r="2" spans="2:10" ht="20.100000000000001" customHeight="1" x14ac:dyDescent="0.2">
      <c r="C2" s="184" t="s">
        <v>368</v>
      </c>
    </row>
    <row r="3" spans="2:10" ht="20.100000000000001" customHeight="1" x14ac:dyDescent="0.2">
      <c r="B3" s="184"/>
      <c r="C3" s="220" t="s">
        <v>369</v>
      </c>
    </row>
    <row r="4" spans="2:10" ht="30" customHeight="1" x14ac:dyDescent="0.2">
      <c r="B4" s="184"/>
      <c r="C4" s="185" t="s">
        <v>349</v>
      </c>
      <c r="D4" s="324" t="s">
        <v>350</v>
      </c>
      <c r="E4" s="325"/>
      <c r="F4" s="185" t="s">
        <v>351</v>
      </c>
      <c r="H4" s="186" t="s">
        <v>352</v>
      </c>
    </row>
    <row r="5" spans="2:10" ht="30" customHeight="1" x14ac:dyDescent="0.2">
      <c r="B5" s="184"/>
      <c r="C5" s="187" t="s">
        <v>353</v>
      </c>
      <c r="D5" s="326" t="s">
        <v>354</v>
      </c>
      <c r="E5" s="327"/>
      <c r="F5" s="188"/>
      <c r="H5" s="94" t="str">
        <f t="shared" ref="H5:H10" si="0">D5</f>
        <v>令和○年○月○日</v>
      </c>
    </row>
    <row r="6" spans="2:10" ht="30" customHeight="1" x14ac:dyDescent="0.2">
      <c r="B6" s="184"/>
      <c r="C6" s="2" t="s">
        <v>355</v>
      </c>
      <c r="D6" s="321" t="s">
        <v>356</v>
      </c>
      <c r="E6" s="322"/>
      <c r="F6" s="2" t="s">
        <v>357</v>
      </c>
      <c r="H6" s="94" t="str">
        <f t="shared" si="0"/>
        <v>○○市○○町○○番地</v>
      </c>
    </row>
    <row r="7" spans="2:10" ht="30" customHeight="1" x14ac:dyDescent="0.2">
      <c r="B7" s="184"/>
      <c r="C7" s="2" t="s">
        <v>358</v>
      </c>
      <c r="D7" s="328" t="s">
        <v>337</v>
      </c>
      <c r="E7" s="329"/>
      <c r="F7" s="2" t="s">
        <v>359</v>
      </c>
      <c r="H7" s="94" t="str">
        <f t="shared" si="0"/>
        <v>株式会社○○○○</v>
      </c>
    </row>
    <row r="8" spans="2:10" ht="30" customHeight="1" x14ac:dyDescent="0.2">
      <c r="B8" s="184"/>
      <c r="C8" s="2" t="s">
        <v>360</v>
      </c>
      <c r="D8" s="321" t="s">
        <v>361</v>
      </c>
      <c r="E8" s="322"/>
      <c r="F8" s="2" t="s">
        <v>359</v>
      </c>
      <c r="H8" s="94" t="str">
        <f t="shared" si="0"/>
        <v>代表取締役　○○○○</v>
      </c>
    </row>
    <row r="9" spans="2:10" ht="30" customHeight="1" x14ac:dyDescent="0.2">
      <c r="B9" s="184"/>
      <c r="C9" s="2" t="s">
        <v>362</v>
      </c>
      <c r="D9" s="321" t="s">
        <v>363</v>
      </c>
      <c r="E9" s="322"/>
      <c r="F9" s="2" t="s">
        <v>359</v>
      </c>
      <c r="H9" s="94" t="str">
        <f t="shared" si="0"/>
        <v>000-000-0000</v>
      </c>
    </row>
    <row r="10" spans="2:10" ht="30" customHeight="1" x14ac:dyDescent="0.2">
      <c r="B10" s="184"/>
      <c r="C10" s="2" t="s">
        <v>364</v>
      </c>
      <c r="D10" s="321" t="s">
        <v>365</v>
      </c>
      <c r="E10" s="322"/>
      <c r="F10" s="2" t="s">
        <v>359</v>
      </c>
      <c r="H10" s="94" t="str">
        <f t="shared" si="0"/>
        <v>○○○○</v>
      </c>
    </row>
    <row r="11" spans="2:10" ht="30" customHeight="1" x14ac:dyDescent="0.2">
      <c r="B11" s="184"/>
      <c r="C11" s="2" t="s">
        <v>366</v>
      </c>
      <c r="D11" s="321" t="s">
        <v>388</v>
      </c>
      <c r="E11" s="322"/>
      <c r="F11" s="189" t="s">
        <v>367</v>
      </c>
      <c r="H11" s="94" t="str">
        <f>D11</f>
        <v>○○・△△特定建設工事共同企業体</v>
      </c>
    </row>
    <row r="12" spans="2:10" ht="30" customHeight="1" x14ac:dyDescent="0.2">
      <c r="C12" s="185" t="s">
        <v>371</v>
      </c>
      <c r="D12" s="324" t="s">
        <v>372</v>
      </c>
      <c r="E12" s="325"/>
      <c r="F12" s="185" t="s">
        <v>132</v>
      </c>
      <c r="H12" s="186" t="s">
        <v>373</v>
      </c>
    </row>
    <row r="13" spans="2:10" ht="30" customHeight="1" x14ac:dyDescent="0.2">
      <c r="C13" s="221" t="s">
        <v>131</v>
      </c>
      <c r="D13" s="326" t="s">
        <v>282</v>
      </c>
      <c r="E13" s="327"/>
      <c r="F13" s="309" t="s">
        <v>460</v>
      </c>
      <c r="G13" s="222"/>
      <c r="H13" s="94" t="str">
        <f t="shared" ref="H13:H15" si="1">D13</f>
        <v>令和○年○月○日</v>
      </c>
      <c r="I13" s="1"/>
      <c r="J13" s="1"/>
    </row>
    <row r="14" spans="2:10" ht="30" customHeight="1" x14ac:dyDescent="0.2">
      <c r="C14" s="223" t="s">
        <v>129</v>
      </c>
      <c r="D14" s="336" t="s">
        <v>136</v>
      </c>
      <c r="E14" s="337"/>
      <c r="F14" s="309" t="s">
        <v>461</v>
      </c>
      <c r="G14" s="222"/>
      <c r="H14" s="94" t="str">
        <f t="shared" si="1"/>
        <v xml:space="preserve">第○○-○○○○○-○○○○号 </v>
      </c>
      <c r="I14" s="1"/>
      <c r="J14" s="1"/>
    </row>
    <row r="15" spans="2:10" ht="30" customHeight="1" x14ac:dyDescent="0.2">
      <c r="C15" s="224" t="s">
        <v>130</v>
      </c>
      <c r="D15" s="334" t="s">
        <v>348</v>
      </c>
      <c r="E15" s="335"/>
      <c r="F15" s="310" t="s">
        <v>462</v>
      </c>
      <c r="G15" s="222"/>
      <c r="H15" s="94" t="str">
        <f t="shared" si="1"/>
        <v>○○○○○○○○○○○○工事</v>
      </c>
      <c r="I15" s="1"/>
      <c r="J15" s="1"/>
    </row>
    <row r="16" spans="2:10" ht="30" customHeight="1" x14ac:dyDescent="0.2">
      <c r="C16" s="225" t="s">
        <v>219</v>
      </c>
      <c r="D16" s="332"/>
      <c r="E16" s="333"/>
      <c r="F16" s="210" t="s">
        <v>387</v>
      </c>
      <c r="H16" s="156">
        <f>IF(OR(D16="一般土木工事",D16="舗装工事"),1,IF(OR(D16="建築工事",D16="電気設備工事",D16="暖冷房衛生設備工事"),2,10))</f>
        <v>10</v>
      </c>
      <c r="I16" t="s">
        <v>446</v>
      </c>
    </row>
    <row r="17" spans="3:9" ht="30" customHeight="1" x14ac:dyDescent="0.2">
      <c r="C17" s="224" t="s">
        <v>220</v>
      </c>
      <c r="D17" s="328"/>
      <c r="E17" s="329"/>
      <c r="F17" s="210"/>
      <c r="H17" s="156" t="e">
        <f>VLOOKUP(D17,リスト2!G3:I7,3,FALSE)</f>
        <v>#N/A</v>
      </c>
      <c r="I17" t="s">
        <v>262</v>
      </c>
    </row>
    <row r="18" spans="3:9" ht="30" customHeight="1" x14ac:dyDescent="0.2">
      <c r="C18" s="330" t="s">
        <v>269</v>
      </c>
      <c r="D18" s="155" t="s">
        <v>119</v>
      </c>
      <c r="E18" s="155" t="s">
        <v>125</v>
      </c>
      <c r="F18" s="330" t="s">
        <v>281</v>
      </c>
    </row>
    <row r="19" spans="3:9" ht="30" customHeight="1" x14ac:dyDescent="0.2">
      <c r="C19" s="331"/>
      <c r="D19" s="190" t="s">
        <v>284</v>
      </c>
      <c r="E19" s="190" t="s">
        <v>284</v>
      </c>
      <c r="F19" s="331"/>
    </row>
    <row r="20" spans="3:9" ht="30" customHeight="1" x14ac:dyDescent="0.2">
      <c r="C20" s="94" t="s">
        <v>127</v>
      </c>
      <c r="D20" s="2" t="str">
        <f>VLOOKUP(D19,リスト2!$C$3:$E$64,2,FALSE)</f>
        <v>-</v>
      </c>
      <c r="E20" s="2" t="str">
        <f>VLOOKUP(E19,リスト2!$C$3:$E$64,2,FALSE)</f>
        <v>-</v>
      </c>
      <c r="F20" s="2" t="s">
        <v>267</v>
      </c>
    </row>
    <row r="21" spans="3:9" ht="30" customHeight="1" x14ac:dyDescent="0.2">
      <c r="C21" s="94" t="s">
        <v>128</v>
      </c>
      <c r="D21" s="2" t="str">
        <f>VLOOKUP(D19,リスト2!$C$3:$E$64,3,FALSE)</f>
        <v>-</v>
      </c>
      <c r="E21" s="2" t="str">
        <f>VLOOKUP(E19,リスト2!$C$3:$E$64,3,FALSE)</f>
        <v>-</v>
      </c>
      <c r="F21" s="2" t="s">
        <v>126</v>
      </c>
    </row>
    <row r="22" spans="3:9" ht="30" customHeight="1" x14ac:dyDescent="0.2">
      <c r="F22" s="226" t="s">
        <v>268</v>
      </c>
    </row>
    <row r="23" spans="3:9" ht="30" customHeight="1" x14ac:dyDescent="0.2">
      <c r="C23" s="2" t="s">
        <v>123</v>
      </c>
      <c r="D23" s="58" t="e">
        <f>'2.様式第1号、第6～8号(簡易型)'!V48</f>
        <v>#N/A</v>
      </c>
      <c r="E23" s="2" t="s">
        <v>124</v>
      </c>
      <c r="F23" s="191" t="s">
        <v>370</v>
      </c>
    </row>
    <row r="24" spans="3:9" ht="20.100000000000001" customHeight="1" x14ac:dyDescent="0.2"/>
    <row r="33" customFormat="1" x14ac:dyDescent="0.2"/>
  </sheetData>
  <sheetProtection algorithmName="SHA-512" hashValue="l4OJM0R9qlRgp7V6kMAGhPfGQkqtWKbw1No4oVtNwy30iaaXZM4tORaGEzl/L5k337Wxy70vpccFursFbEbOkA==" saltValue="LuaUBw4L1/X4wY9fpLm/tA=="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26"/>
  <sheetViews>
    <sheetView showGridLines="0" view="pageBreakPreview" zoomScale="85" zoomScaleNormal="60" zoomScaleSheetLayoutView="85" workbookViewId="0">
      <selection activeCell="D42" sqref="D42"/>
    </sheetView>
  </sheetViews>
  <sheetFormatPr defaultColWidth="8.88671875" defaultRowHeight="13.2" x14ac:dyDescent="0.2"/>
  <cols>
    <col min="1" max="1" width="2" customWidth="1"/>
    <col min="2" max="3" width="3.6640625" customWidth="1"/>
    <col min="4" max="4" width="13" customWidth="1"/>
    <col min="5" max="6" width="6.77734375" customWidth="1"/>
    <col min="7" max="7" width="17" customWidth="1"/>
    <col min="8" max="8" width="7.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2" width="12.109375" customWidth="1"/>
    <col min="43" max="43" width="11" customWidth="1"/>
    <col min="45" max="45" width="11.44140625" customWidth="1"/>
    <col min="51" max="51" width="11.44140625" customWidth="1"/>
    <col min="52" max="52" width="11.77734375" customWidth="1"/>
  </cols>
  <sheetData>
    <row r="1" spans="1:19" ht="15" customHeight="1" x14ac:dyDescent="0.2">
      <c r="S1" s="262" t="str">
        <f>'1.基本データ(このシートは削除しないこと！)'!H1</f>
        <v>令和７年度様式（令和７年４月１日以降の入札公告から適用）</v>
      </c>
    </row>
    <row r="2" spans="1:19" s="227" customFormat="1" ht="15" customHeight="1" x14ac:dyDescent="0.2"/>
    <row r="3" spans="1:19" s="227" customFormat="1" ht="15" customHeight="1" x14ac:dyDescent="0.2"/>
    <row r="4" spans="1:19" s="227" customFormat="1" ht="19.95" customHeight="1" x14ac:dyDescent="0.2">
      <c r="C4" s="263" t="s">
        <v>437</v>
      </c>
    </row>
    <row r="5" spans="1:19" s="227" customFormat="1" ht="38.4" customHeight="1" x14ac:dyDescent="0.2">
      <c r="A5" s="571" t="s">
        <v>438</v>
      </c>
      <c r="B5" s="571"/>
      <c r="C5" s="571"/>
      <c r="D5" s="571"/>
      <c r="E5" s="571"/>
      <c r="F5" s="571"/>
      <c r="G5" s="571"/>
      <c r="H5" s="571"/>
      <c r="I5" s="571"/>
      <c r="J5" s="571"/>
      <c r="K5" s="571"/>
      <c r="L5" s="571"/>
      <c r="M5" s="571"/>
      <c r="N5" s="571"/>
      <c r="O5" s="571"/>
      <c r="P5" s="571"/>
      <c r="Q5" s="571"/>
      <c r="R5" s="571"/>
      <c r="S5" s="571"/>
    </row>
    <row r="6" spans="1:19" s="227" customFormat="1" ht="19.95" customHeight="1" x14ac:dyDescent="0.2">
      <c r="A6" s="264"/>
      <c r="B6" s="265"/>
      <c r="C6" s="263"/>
      <c r="D6" s="263"/>
      <c r="E6" s="263"/>
      <c r="F6" s="263"/>
      <c r="G6" s="263"/>
      <c r="H6" s="263"/>
      <c r="I6" s="263"/>
      <c r="J6" s="263"/>
      <c r="K6" s="263"/>
      <c r="L6" s="263"/>
      <c r="M6" s="263"/>
      <c r="N6" s="263"/>
      <c r="O6" s="266"/>
      <c r="P6" s="266"/>
      <c r="Q6" s="572"/>
      <c r="R6" s="572"/>
      <c r="S6" s="572"/>
    </row>
    <row r="7" spans="1:19" s="227" customFormat="1" ht="19.95" customHeight="1" x14ac:dyDescent="0.2">
      <c r="A7" s="267"/>
      <c r="B7" s="268"/>
      <c r="C7" s="265"/>
      <c r="D7" s="265"/>
      <c r="E7" s="263"/>
      <c r="F7" s="263"/>
      <c r="G7" s="263"/>
      <c r="H7" s="263"/>
      <c r="I7" s="263"/>
      <c r="J7" s="263"/>
      <c r="K7" s="263"/>
      <c r="L7" s="263"/>
      <c r="M7" s="263"/>
      <c r="N7" s="263"/>
      <c r="O7" s="263"/>
      <c r="P7" s="263"/>
      <c r="Q7" s="263"/>
      <c r="R7" s="263"/>
      <c r="S7" s="263"/>
    </row>
    <row r="8" spans="1:19" s="227" customFormat="1" ht="19.95" customHeight="1" x14ac:dyDescent="0.2">
      <c r="B8" s="265"/>
      <c r="C8" s="265" t="s">
        <v>15</v>
      </c>
      <c r="D8" s="265"/>
      <c r="E8" s="263"/>
      <c r="F8" s="263"/>
      <c r="G8" s="263"/>
      <c r="H8" s="263"/>
      <c r="I8" s="263"/>
      <c r="J8" s="263"/>
      <c r="K8" s="263"/>
      <c r="L8" s="263"/>
      <c r="M8" s="263"/>
      <c r="N8" s="263"/>
      <c r="O8" s="263"/>
      <c r="P8" s="263"/>
      <c r="Q8" s="263"/>
      <c r="R8" s="263"/>
      <c r="S8" s="263"/>
    </row>
    <row r="9" spans="1:19" s="227" customFormat="1" ht="19.95" customHeight="1" x14ac:dyDescent="0.2">
      <c r="A9" s="267"/>
      <c r="B9" s="268"/>
      <c r="C9" s="265"/>
      <c r="D9" s="265"/>
      <c r="E9" s="263"/>
      <c r="F9" s="263"/>
      <c r="G9" s="263"/>
      <c r="H9" s="263"/>
      <c r="I9" s="263"/>
      <c r="J9" s="263"/>
      <c r="K9" s="263"/>
      <c r="L9" s="263"/>
      <c r="M9" s="263"/>
      <c r="N9" s="263"/>
      <c r="O9" s="263"/>
      <c r="P9" s="263"/>
      <c r="Q9" s="263"/>
      <c r="R9" s="263"/>
      <c r="S9" s="263"/>
    </row>
    <row r="10" spans="1:19" s="227" customFormat="1" ht="25.2" customHeight="1" x14ac:dyDescent="0.2">
      <c r="A10" s="267"/>
      <c r="B10" s="265"/>
      <c r="C10" s="263"/>
      <c r="D10" s="263"/>
      <c r="E10" s="263"/>
      <c r="F10" s="263"/>
      <c r="G10" s="263"/>
      <c r="H10" s="263"/>
      <c r="I10" s="263"/>
      <c r="J10" s="263"/>
      <c r="K10" s="263"/>
      <c r="L10" s="573" t="str">
        <f>IF('1.基本データ(このシートは削除しないこと！)'!H11=0,"",'1.基本データ(このシートは削除しないこと！)'!H11)</f>
        <v>○○・△△特定建設工事共同企業体</v>
      </c>
      <c r="M10" s="573"/>
      <c r="N10" s="573"/>
      <c r="O10" s="573"/>
      <c r="P10" s="573"/>
      <c r="Q10" s="573"/>
      <c r="R10" s="573"/>
      <c r="S10" s="573"/>
    </row>
    <row r="11" spans="1:19" s="227" customFormat="1" ht="25.2" customHeight="1" x14ac:dyDescent="0.2">
      <c r="B11" s="263"/>
      <c r="C11" s="263"/>
      <c r="D11" s="263"/>
      <c r="E11" s="263"/>
      <c r="F11" s="263"/>
      <c r="G11" s="263"/>
      <c r="H11" s="263"/>
      <c r="I11" s="263"/>
      <c r="J11" s="263"/>
      <c r="K11" s="269" t="str">
        <f>IF('1.基本データ(このシートは削除しないこと！)'!H11=0," ","代表構成員")</f>
        <v>代表構成員</v>
      </c>
      <c r="L11" s="574" t="str">
        <f>'1.基本データ(このシートは削除しないこと！)'!H6</f>
        <v>○○市○○町○○番地</v>
      </c>
      <c r="M11" s="574"/>
      <c r="N11" s="574"/>
      <c r="O11" s="574"/>
      <c r="P11" s="574"/>
      <c r="Q11" s="574"/>
      <c r="R11" s="574"/>
      <c r="S11" s="574"/>
    </row>
    <row r="12" spans="1:19" s="227" customFormat="1" ht="25.2" customHeight="1" x14ac:dyDescent="0.25">
      <c r="A12" s="264"/>
      <c r="B12" s="263"/>
      <c r="C12" s="263"/>
      <c r="D12" s="263"/>
      <c r="E12" s="263"/>
      <c r="F12" s="263"/>
      <c r="G12" s="575" t="s">
        <v>439</v>
      </c>
      <c r="H12" s="575"/>
      <c r="I12" s="575"/>
      <c r="J12" s="575"/>
      <c r="K12" s="575"/>
      <c r="L12" s="574"/>
      <c r="M12" s="574"/>
      <c r="N12" s="574"/>
      <c r="O12" s="574"/>
      <c r="P12" s="574"/>
      <c r="Q12" s="574"/>
      <c r="R12" s="574"/>
      <c r="S12" s="574"/>
    </row>
    <row r="13" spans="1:19" s="227" customFormat="1" ht="25.2" customHeight="1" x14ac:dyDescent="0.25">
      <c r="A13" s="264"/>
      <c r="B13" s="263"/>
      <c r="C13" s="263"/>
      <c r="D13" s="263"/>
      <c r="E13" s="263"/>
      <c r="F13" s="263"/>
      <c r="G13" s="575" t="s">
        <v>6</v>
      </c>
      <c r="H13" s="575"/>
      <c r="I13" s="575"/>
      <c r="J13" s="575"/>
      <c r="K13" s="575"/>
      <c r="L13" s="576" t="str">
        <f>'1.基本データ(このシートは削除しないこと！)'!H7</f>
        <v>株式会社○○○○</v>
      </c>
      <c r="M13" s="576"/>
      <c r="N13" s="576"/>
      <c r="O13" s="576"/>
      <c r="P13" s="576"/>
      <c r="Q13" s="576"/>
      <c r="R13" s="576"/>
      <c r="S13" s="576"/>
    </row>
    <row r="14" spans="1:19" s="227" customFormat="1" ht="25.2" customHeight="1" x14ac:dyDescent="0.25">
      <c r="A14" s="264"/>
      <c r="B14" s="263"/>
      <c r="C14" s="263"/>
      <c r="D14" s="263"/>
      <c r="E14" s="263"/>
      <c r="F14" s="263"/>
      <c r="G14" s="575" t="s">
        <v>13</v>
      </c>
      <c r="H14" s="575"/>
      <c r="I14" s="575"/>
      <c r="J14" s="575"/>
      <c r="K14" s="575"/>
      <c r="L14" s="576" t="str">
        <f>'1.基本データ(このシートは削除しないこと！)'!H8</f>
        <v>代表取締役　○○○○</v>
      </c>
      <c r="M14" s="576"/>
      <c r="N14" s="576"/>
      <c r="O14" s="576"/>
      <c r="P14" s="576"/>
      <c r="Q14" s="576"/>
      <c r="R14" s="576"/>
      <c r="S14" s="576"/>
    </row>
    <row r="15" spans="1:19" s="227" customFormat="1" ht="25.2" customHeight="1" x14ac:dyDescent="0.2">
      <c r="A15" s="264"/>
      <c r="B15" s="270"/>
      <c r="C15" s="271"/>
      <c r="D15" s="265"/>
      <c r="E15" s="263"/>
      <c r="F15" s="263"/>
      <c r="G15" s="272"/>
      <c r="H15" s="272"/>
      <c r="I15" s="272"/>
      <c r="J15" s="272"/>
      <c r="K15" s="272"/>
      <c r="L15" s="272"/>
      <c r="M15" s="272"/>
      <c r="N15" s="272"/>
      <c r="O15" s="272"/>
      <c r="P15" s="272"/>
      <c r="Q15" s="272"/>
      <c r="R15" s="272"/>
      <c r="S15" s="272"/>
    </row>
    <row r="16" spans="1:19" s="227" customFormat="1" ht="25.2" customHeight="1" x14ac:dyDescent="0.2">
      <c r="A16" s="264"/>
      <c r="B16" s="263"/>
      <c r="C16" s="263"/>
      <c r="D16" s="265"/>
      <c r="E16" s="263"/>
      <c r="F16" s="263"/>
      <c r="G16" s="587" t="s">
        <v>7</v>
      </c>
      <c r="H16" s="587"/>
      <c r="I16" s="587"/>
      <c r="J16" s="587"/>
      <c r="K16" s="587"/>
      <c r="L16" s="573" t="str">
        <f>'1.基本データ(このシートは削除しないこと！)'!H9</f>
        <v>000-000-0000</v>
      </c>
      <c r="M16" s="573"/>
      <c r="N16" s="573"/>
      <c r="O16" s="573"/>
      <c r="P16" s="573"/>
      <c r="Q16" s="573"/>
      <c r="R16" s="573"/>
      <c r="S16" s="573"/>
    </row>
    <row r="17" spans="1:19" s="227" customFormat="1" ht="25.2" customHeight="1" x14ac:dyDescent="0.2">
      <c r="A17" s="264"/>
      <c r="B17" s="263"/>
      <c r="C17" s="263"/>
      <c r="D17" s="265"/>
      <c r="E17" s="263"/>
      <c r="F17" s="263"/>
      <c r="G17" s="588" t="s">
        <v>14</v>
      </c>
      <c r="H17" s="588"/>
      <c r="I17" s="588"/>
      <c r="J17" s="588"/>
      <c r="K17" s="588"/>
      <c r="L17" s="589" t="str">
        <f>'1.基本データ(このシートは削除しないこと！)'!H10</f>
        <v>○○○○</v>
      </c>
      <c r="M17" s="589"/>
      <c r="N17" s="589"/>
      <c r="O17" s="589"/>
      <c r="P17" s="589"/>
      <c r="Q17" s="589"/>
      <c r="R17" s="589"/>
      <c r="S17" s="589"/>
    </row>
    <row r="18" spans="1:19" s="227" customFormat="1" ht="19.95" customHeight="1" x14ac:dyDescent="0.2">
      <c r="A18" s="267"/>
      <c r="B18" s="268"/>
      <c r="C18" s="265"/>
      <c r="D18" s="265"/>
      <c r="E18" s="263"/>
      <c r="F18" s="263"/>
      <c r="G18" s="263"/>
      <c r="H18" s="263"/>
      <c r="I18" s="263"/>
      <c r="J18" s="263"/>
      <c r="K18" s="263"/>
      <c r="L18" s="263"/>
      <c r="M18" s="263"/>
      <c r="N18" s="263"/>
      <c r="O18" s="263"/>
      <c r="P18" s="263"/>
      <c r="Q18" s="263"/>
      <c r="R18" s="263"/>
      <c r="S18" s="263"/>
    </row>
    <row r="19" spans="1:19" s="227" customFormat="1" ht="19.95" customHeight="1" x14ac:dyDescent="0.2">
      <c r="B19" s="263"/>
      <c r="C19" s="263"/>
      <c r="D19" s="263"/>
      <c r="E19" s="263"/>
      <c r="F19" s="263"/>
      <c r="G19" s="263"/>
      <c r="H19" s="263"/>
      <c r="I19" s="263"/>
      <c r="J19" s="263"/>
      <c r="K19" s="263"/>
      <c r="L19" s="263"/>
      <c r="M19" s="263"/>
      <c r="N19" s="263"/>
      <c r="O19" s="263"/>
      <c r="P19" s="263"/>
      <c r="Q19" s="263"/>
      <c r="R19" s="263"/>
      <c r="S19" s="263"/>
    </row>
    <row r="20" spans="1:19" s="227" customFormat="1" ht="19.95" customHeight="1" x14ac:dyDescent="0.2">
      <c r="B20" s="263"/>
      <c r="C20" s="590"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590"/>
      <c r="E20" s="590"/>
      <c r="F20" s="590"/>
      <c r="G20" s="590"/>
      <c r="H20" s="590"/>
      <c r="I20" s="590"/>
      <c r="J20" s="590"/>
      <c r="K20" s="590"/>
      <c r="L20" s="590"/>
      <c r="M20" s="590"/>
      <c r="N20" s="590"/>
      <c r="O20" s="590"/>
      <c r="P20" s="590"/>
      <c r="Q20" s="590"/>
      <c r="R20" s="590"/>
      <c r="S20" s="590"/>
    </row>
    <row r="21" spans="1:19" s="227" customFormat="1" ht="19.95" customHeight="1" x14ac:dyDescent="0.2">
      <c r="B21" s="263"/>
      <c r="C21" s="590"/>
      <c r="D21" s="590"/>
      <c r="E21" s="590"/>
      <c r="F21" s="590"/>
      <c r="G21" s="590"/>
      <c r="H21" s="590"/>
      <c r="I21" s="590"/>
      <c r="J21" s="590"/>
      <c r="K21" s="590"/>
      <c r="L21" s="590"/>
      <c r="M21" s="590"/>
      <c r="N21" s="590"/>
      <c r="O21" s="590"/>
      <c r="P21" s="590"/>
      <c r="Q21" s="590"/>
      <c r="R21" s="590"/>
      <c r="S21" s="590"/>
    </row>
    <row r="22" spans="1:19" s="227" customFormat="1" ht="19.95" customHeight="1" x14ac:dyDescent="0.2">
      <c r="B22" s="263"/>
      <c r="C22" s="590"/>
      <c r="D22" s="590"/>
      <c r="E22" s="590"/>
      <c r="F22" s="590"/>
      <c r="G22" s="590"/>
      <c r="H22" s="590"/>
      <c r="I22" s="590"/>
      <c r="J22" s="590"/>
      <c r="K22" s="590"/>
      <c r="L22" s="590"/>
      <c r="M22" s="590"/>
      <c r="N22" s="590"/>
      <c r="O22" s="590"/>
      <c r="P22" s="590"/>
      <c r="Q22" s="590"/>
      <c r="R22" s="590"/>
      <c r="S22" s="590"/>
    </row>
    <row r="23" spans="1:19" s="227" customFormat="1" ht="19.95" customHeight="1" x14ac:dyDescent="0.2">
      <c r="B23" s="263"/>
      <c r="C23" s="590"/>
      <c r="D23" s="590"/>
      <c r="E23" s="590"/>
      <c r="F23" s="590"/>
      <c r="G23" s="590"/>
      <c r="H23" s="590"/>
      <c r="I23" s="590"/>
      <c r="J23" s="590"/>
      <c r="K23" s="590"/>
      <c r="L23" s="590"/>
      <c r="M23" s="590"/>
      <c r="N23" s="590"/>
      <c r="O23" s="590"/>
      <c r="P23" s="590"/>
      <c r="Q23" s="590"/>
      <c r="R23" s="590"/>
      <c r="S23" s="590"/>
    </row>
    <row r="24" spans="1:19" s="227" customFormat="1" ht="19.95" customHeight="1" x14ac:dyDescent="0.2">
      <c r="B24" s="263"/>
      <c r="C24" s="590"/>
      <c r="D24" s="590"/>
      <c r="E24" s="590"/>
      <c r="F24" s="590"/>
      <c r="G24" s="590"/>
      <c r="H24" s="590"/>
      <c r="I24" s="590"/>
      <c r="J24" s="590"/>
      <c r="K24" s="590"/>
      <c r="L24" s="590"/>
      <c r="M24" s="590"/>
      <c r="N24" s="590"/>
      <c r="O24" s="590"/>
      <c r="P24" s="590"/>
      <c r="Q24" s="590"/>
      <c r="R24" s="590"/>
      <c r="S24" s="590"/>
    </row>
    <row r="25" spans="1:19" s="227" customFormat="1" ht="19.95" customHeight="1" x14ac:dyDescent="0.2">
      <c r="B25" s="263"/>
      <c r="C25" s="263"/>
      <c r="D25" s="263"/>
      <c r="E25" s="263"/>
      <c r="F25" s="263"/>
      <c r="G25" s="263"/>
      <c r="H25" s="263"/>
      <c r="I25" s="263"/>
      <c r="J25" s="263"/>
      <c r="K25" s="263"/>
      <c r="L25" s="263"/>
      <c r="M25" s="263"/>
      <c r="N25" s="263"/>
      <c r="O25" s="263"/>
      <c r="P25" s="263"/>
      <c r="Q25" s="263"/>
      <c r="R25" s="263"/>
      <c r="S25" s="263"/>
    </row>
    <row r="26" spans="1:19" s="273" customFormat="1" ht="22.95" customHeight="1" x14ac:dyDescent="0.2">
      <c r="B26" s="263"/>
      <c r="C26" s="270" t="s">
        <v>444</v>
      </c>
      <c r="D26" s="270"/>
      <c r="E26" s="270"/>
      <c r="F26" s="270"/>
      <c r="G26" s="274"/>
      <c r="H26" s="274"/>
      <c r="I26" s="274"/>
      <c r="J26" s="274"/>
      <c r="K26" s="274"/>
      <c r="L26" s="274"/>
      <c r="M26" s="274"/>
      <c r="N26" s="274"/>
      <c r="O26" s="274"/>
      <c r="P26" s="274"/>
      <c r="Q26" s="274"/>
      <c r="R26" s="274"/>
      <c r="S26" s="274"/>
    </row>
    <row r="27" spans="1:19" s="273" customFormat="1" ht="22.95" customHeight="1" x14ac:dyDescent="0.2">
      <c r="B27" s="263"/>
      <c r="C27" s="270" t="s">
        <v>440</v>
      </c>
      <c r="D27" s="270"/>
      <c r="E27" s="270"/>
      <c r="F27" s="270"/>
      <c r="G27" s="274"/>
      <c r="H27" s="274"/>
      <c r="I27" s="274"/>
      <c r="J27" s="274"/>
      <c r="K27" s="274"/>
      <c r="L27" s="274"/>
      <c r="M27" s="274"/>
      <c r="N27" s="274"/>
      <c r="O27" s="274"/>
      <c r="P27" s="274"/>
      <c r="Q27" s="274"/>
      <c r="R27" s="274"/>
      <c r="S27" s="274"/>
    </row>
    <row r="28" spans="1:19" s="273" customFormat="1" ht="22.95" customHeight="1" x14ac:dyDescent="0.2">
      <c r="B28" s="263"/>
      <c r="C28" s="265" t="s">
        <v>441</v>
      </c>
      <c r="D28" s="265"/>
      <c r="E28" s="265"/>
      <c r="F28" s="265"/>
      <c r="G28" s="263"/>
      <c r="H28" s="263"/>
      <c r="I28" s="263"/>
      <c r="J28" s="263"/>
      <c r="K28" s="263"/>
      <c r="L28" s="263"/>
      <c r="M28" s="263"/>
      <c r="N28" s="263"/>
      <c r="O28" s="263"/>
      <c r="P28" s="263"/>
      <c r="Q28" s="263"/>
      <c r="R28" s="263"/>
      <c r="S28" s="263"/>
    </row>
    <row r="29" spans="1:19" s="273" customFormat="1" ht="22.95" customHeight="1" x14ac:dyDescent="0.2">
      <c r="B29" s="263"/>
      <c r="C29" s="270"/>
      <c r="D29" s="270"/>
      <c r="E29" s="270"/>
      <c r="F29" s="270"/>
      <c r="G29" s="263"/>
      <c r="H29" s="263"/>
      <c r="I29" s="263"/>
      <c r="J29" s="263"/>
      <c r="K29" s="263"/>
      <c r="L29" s="263"/>
      <c r="M29" s="263"/>
      <c r="N29" s="263"/>
      <c r="O29" s="263"/>
      <c r="P29" s="263"/>
      <c r="Q29" s="263"/>
      <c r="R29" s="263"/>
      <c r="S29" s="263"/>
    </row>
    <row r="30" spans="1:19" s="273" customFormat="1" ht="22.95" customHeight="1" x14ac:dyDescent="0.2">
      <c r="B30" s="263"/>
      <c r="C30" s="265" t="s">
        <v>310</v>
      </c>
      <c r="D30" s="265"/>
      <c r="E30" s="265"/>
      <c r="F30" s="265"/>
      <c r="G30" s="263"/>
      <c r="H30" s="263"/>
      <c r="I30" s="263"/>
      <c r="J30" s="263"/>
      <c r="K30" s="263"/>
      <c r="L30" s="263"/>
      <c r="M30" s="263"/>
      <c r="N30" s="263"/>
      <c r="O30" s="263"/>
      <c r="P30" s="263"/>
      <c r="Q30" s="263"/>
      <c r="R30" s="263"/>
      <c r="S30" s="263"/>
    </row>
    <row r="31" spans="1:19" s="273" customFormat="1" ht="22.95" customHeight="1" x14ac:dyDescent="0.2">
      <c r="B31" s="263"/>
      <c r="C31" s="265" t="s">
        <v>442</v>
      </c>
      <c r="D31" s="265"/>
      <c r="E31" s="265"/>
      <c r="F31" s="265"/>
      <c r="G31" s="263"/>
      <c r="H31" s="263"/>
      <c r="I31" s="263"/>
      <c r="J31" s="263"/>
      <c r="K31" s="263"/>
      <c r="L31" s="263"/>
      <c r="M31" s="263"/>
      <c r="N31" s="263"/>
      <c r="O31" s="263"/>
      <c r="P31" s="263"/>
      <c r="Q31" s="263"/>
      <c r="R31" s="263"/>
      <c r="S31" s="263"/>
    </row>
    <row r="32" spans="1:19" s="273" customFormat="1" ht="22.95" customHeight="1" x14ac:dyDescent="0.2">
      <c r="B32" s="263"/>
      <c r="C32" s="265" t="s">
        <v>443</v>
      </c>
      <c r="D32" s="265"/>
      <c r="E32" s="265"/>
      <c r="F32" s="265"/>
      <c r="G32" s="263"/>
      <c r="H32" s="263"/>
      <c r="I32" s="263"/>
      <c r="J32" s="263"/>
      <c r="K32" s="263"/>
      <c r="L32" s="263"/>
      <c r="M32" s="263"/>
      <c r="N32" s="263"/>
      <c r="O32" s="263"/>
      <c r="P32" s="263"/>
      <c r="Q32" s="263"/>
      <c r="R32" s="263"/>
      <c r="S32" s="263"/>
    </row>
    <row r="33" spans="1:22" s="273" customFormat="1" ht="22.95" customHeight="1" x14ac:dyDescent="0.2">
      <c r="B33" s="263"/>
      <c r="C33" s="265"/>
      <c r="D33" s="265"/>
      <c r="E33" s="265"/>
      <c r="F33" s="265"/>
      <c r="G33" s="263"/>
      <c r="H33" s="263"/>
      <c r="I33" s="263"/>
      <c r="J33" s="263"/>
      <c r="K33" s="263"/>
      <c r="L33" s="263"/>
      <c r="M33" s="263"/>
      <c r="N33" s="263"/>
      <c r="O33" s="263"/>
      <c r="P33" s="263"/>
      <c r="Q33" s="263"/>
      <c r="R33" s="263"/>
      <c r="S33" s="263"/>
    </row>
    <row r="34" spans="1:22" s="273" customFormat="1" ht="22.95" customHeight="1" x14ac:dyDescent="0.2">
      <c r="B34" s="263"/>
      <c r="C34" s="265" t="s">
        <v>311</v>
      </c>
      <c r="D34" s="265"/>
      <c r="E34" s="265"/>
      <c r="F34" s="265"/>
      <c r="G34" s="263"/>
      <c r="H34" s="263"/>
      <c r="I34" s="263"/>
      <c r="J34" s="263"/>
      <c r="K34" s="263"/>
      <c r="L34" s="263"/>
      <c r="M34" s="263"/>
      <c r="N34" s="263"/>
      <c r="O34" s="263"/>
      <c r="P34" s="263"/>
      <c r="Q34" s="263"/>
      <c r="R34" s="263"/>
      <c r="S34" s="263"/>
    </row>
    <row r="35" spans="1:22" s="273" customFormat="1" ht="22.95" customHeight="1" x14ac:dyDescent="0.2">
      <c r="B35" s="263"/>
      <c r="C35" s="265" t="s">
        <v>8</v>
      </c>
      <c r="D35" s="265"/>
      <c r="E35" s="265"/>
      <c r="F35" s="265"/>
      <c r="G35" s="263"/>
      <c r="H35" s="263"/>
      <c r="I35" s="263"/>
      <c r="J35" s="263"/>
      <c r="K35" s="263"/>
      <c r="L35" s="263"/>
      <c r="M35" s="263"/>
      <c r="N35" s="263"/>
      <c r="O35" s="263"/>
      <c r="P35" s="263"/>
      <c r="Q35" s="263"/>
      <c r="R35" s="263"/>
      <c r="S35" s="263"/>
    </row>
    <row r="36" spans="1:22" s="273" customFormat="1" ht="22.95" customHeight="1" x14ac:dyDescent="0.2">
      <c r="B36" s="263"/>
      <c r="C36" s="265" t="s">
        <v>9</v>
      </c>
      <c r="D36" s="265"/>
      <c r="E36" s="265"/>
      <c r="F36" s="265"/>
      <c r="G36" s="263"/>
      <c r="H36" s="263"/>
      <c r="I36" s="263"/>
      <c r="J36" s="263"/>
      <c r="K36" s="263"/>
      <c r="L36" s="263"/>
      <c r="M36" s="263"/>
      <c r="N36" s="263"/>
      <c r="O36" s="263"/>
      <c r="P36" s="263"/>
      <c r="Q36" s="263"/>
      <c r="R36" s="263"/>
      <c r="S36" s="263"/>
    </row>
    <row r="37" spans="1:22" s="273" customFormat="1" ht="22.95" customHeight="1" x14ac:dyDescent="0.2">
      <c r="B37" s="263"/>
      <c r="C37" s="265" t="s">
        <v>10</v>
      </c>
      <c r="D37" s="265"/>
      <c r="E37" s="265"/>
      <c r="F37" s="265"/>
      <c r="G37" s="263"/>
      <c r="H37" s="263"/>
      <c r="I37" s="263"/>
      <c r="J37" s="263"/>
      <c r="K37" s="263"/>
      <c r="L37" s="263"/>
      <c r="M37" s="263"/>
      <c r="N37" s="263"/>
      <c r="O37" s="263"/>
      <c r="P37" s="263"/>
      <c r="Q37" s="263"/>
      <c r="R37" s="263"/>
      <c r="S37" s="263"/>
    </row>
    <row r="38" spans="1:22" s="273" customFormat="1" ht="22.95" customHeight="1" x14ac:dyDescent="0.2">
      <c r="B38" s="263"/>
      <c r="C38" s="265" t="s">
        <v>11</v>
      </c>
      <c r="D38" s="265"/>
      <c r="E38" s="265"/>
      <c r="F38" s="265"/>
      <c r="G38" s="263"/>
      <c r="H38" s="263"/>
      <c r="I38" s="263"/>
      <c r="J38" s="263"/>
      <c r="K38" s="263"/>
      <c r="L38" s="263"/>
      <c r="M38" s="263"/>
      <c r="N38" s="263"/>
      <c r="O38" s="263"/>
      <c r="P38" s="263"/>
      <c r="Q38" s="263"/>
      <c r="R38" s="263"/>
      <c r="S38" s="263"/>
    </row>
    <row r="39" spans="1:22" s="273" customFormat="1" ht="22.95" customHeight="1" x14ac:dyDescent="0.2">
      <c r="B39" s="263"/>
      <c r="C39" s="265"/>
      <c r="D39" s="265"/>
      <c r="E39" s="265"/>
      <c r="F39" s="265"/>
      <c r="G39" s="263"/>
      <c r="H39" s="263"/>
      <c r="I39" s="263"/>
      <c r="J39" s="263"/>
      <c r="K39" s="263"/>
      <c r="L39" s="263"/>
      <c r="M39" s="263"/>
      <c r="N39" s="263"/>
      <c r="O39" s="263"/>
      <c r="P39" s="263"/>
      <c r="Q39" s="263"/>
      <c r="R39" s="263"/>
      <c r="S39" s="263"/>
    </row>
    <row r="40" spans="1:22" s="273" customFormat="1" ht="22.95" customHeight="1" x14ac:dyDescent="0.2">
      <c r="B40" s="263"/>
      <c r="C40" s="265" t="s">
        <v>312</v>
      </c>
      <c r="D40" s="265"/>
      <c r="E40" s="265"/>
      <c r="F40" s="265"/>
      <c r="G40" s="263"/>
      <c r="H40" s="263"/>
      <c r="I40" s="263"/>
      <c r="J40" s="263"/>
      <c r="K40" s="263"/>
      <c r="L40" s="263"/>
      <c r="M40" s="263"/>
      <c r="N40" s="263"/>
      <c r="O40" s="263"/>
      <c r="P40" s="263"/>
      <c r="Q40" s="263"/>
      <c r="R40" s="263"/>
      <c r="S40" s="263"/>
    </row>
    <row r="41" spans="1:22" s="273" customFormat="1" ht="22.95" customHeight="1" x14ac:dyDescent="0.2">
      <c r="B41" s="263"/>
      <c r="C41" s="265" t="s">
        <v>8</v>
      </c>
      <c r="D41" s="265"/>
      <c r="E41" s="265"/>
      <c r="F41" s="265"/>
      <c r="G41" s="263"/>
      <c r="H41" s="263"/>
      <c r="I41" s="263"/>
      <c r="J41" s="263"/>
      <c r="K41" s="263"/>
      <c r="L41" s="263"/>
      <c r="M41" s="263"/>
      <c r="N41" s="263"/>
      <c r="O41" s="263"/>
      <c r="P41" s="263"/>
      <c r="Q41" s="263"/>
      <c r="R41" s="263"/>
      <c r="S41" s="263"/>
    </row>
    <row r="42" spans="1:22" s="273" customFormat="1" ht="22.95" customHeight="1" x14ac:dyDescent="0.2">
      <c r="B42" s="263"/>
      <c r="C42" s="265" t="s">
        <v>9</v>
      </c>
      <c r="D42" s="265"/>
      <c r="E42" s="265"/>
      <c r="F42" s="265"/>
      <c r="G42" s="263"/>
      <c r="H42" s="263"/>
      <c r="I42" s="263"/>
      <c r="J42" s="263"/>
      <c r="K42" s="263"/>
      <c r="L42" s="263"/>
      <c r="M42" s="263"/>
      <c r="N42" s="263"/>
      <c r="O42" s="263"/>
      <c r="P42" s="263"/>
      <c r="Q42" s="263"/>
      <c r="R42" s="263"/>
      <c r="S42" s="263"/>
    </row>
    <row r="43" spans="1:22" s="273" customFormat="1" ht="22.95" customHeight="1" x14ac:dyDescent="0.2">
      <c r="B43" s="263"/>
      <c r="C43" s="265" t="s">
        <v>10</v>
      </c>
      <c r="D43" s="265"/>
      <c r="E43" s="265"/>
      <c r="F43" s="265"/>
      <c r="G43" s="263"/>
      <c r="H43" s="263"/>
      <c r="I43" s="263"/>
      <c r="J43" s="263"/>
      <c r="K43" s="263"/>
      <c r="L43" s="263"/>
      <c r="M43" s="263"/>
      <c r="N43" s="263"/>
      <c r="O43" s="263"/>
      <c r="P43" s="263"/>
      <c r="Q43" s="263"/>
      <c r="R43" s="263"/>
      <c r="S43" s="263"/>
    </row>
    <row r="44" spans="1:22" s="273" customFormat="1" ht="22.95" customHeight="1" x14ac:dyDescent="0.2">
      <c r="B44" s="263"/>
      <c r="C44" s="265" t="s">
        <v>11</v>
      </c>
      <c r="D44" s="265"/>
      <c r="E44" s="265"/>
      <c r="F44" s="265"/>
      <c r="G44" s="263"/>
      <c r="H44" s="263"/>
      <c r="I44" s="263"/>
      <c r="J44" s="263"/>
      <c r="K44" s="263"/>
      <c r="L44" s="263"/>
      <c r="M44" s="263"/>
      <c r="N44" s="263"/>
      <c r="O44" s="263"/>
      <c r="P44" s="263"/>
      <c r="Q44" s="263"/>
      <c r="R44" s="263"/>
      <c r="S44" s="263"/>
    </row>
    <row r="45" spans="1:22" s="273" customFormat="1" ht="22.95" customHeight="1" x14ac:dyDescent="0.2">
      <c r="B45" s="263"/>
      <c r="C45" s="265" t="s">
        <v>12</v>
      </c>
      <c r="D45" s="265"/>
      <c r="E45" s="265"/>
      <c r="F45" s="265"/>
      <c r="G45" s="263"/>
      <c r="H45" s="263"/>
      <c r="I45" s="263"/>
      <c r="J45" s="263"/>
      <c r="K45" s="263"/>
      <c r="L45" s="263"/>
      <c r="M45" s="263"/>
      <c r="N45" s="263"/>
      <c r="O45" s="263"/>
      <c r="P45" s="263"/>
      <c r="Q45" s="263"/>
      <c r="R45" s="263"/>
      <c r="S45" s="263"/>
    </row>
    <row r="46" spans="1:22" s="227" customFormat="1" ht="19.95" customHeight="1" x14ac:dyDescent="0.2">
      <c r="A46" s="275"/>
      <c r="B46" s="276"/>
      <c r="C46" s="276"/>
      <c r="D46" s="277"/>
      <c r="E46" s="277"/>
      <c r="F46" s="277"/>
      <c r="G46" s="277"/>
      <c r="H46" s="277"/>
      <c r="I46" s="277"/>
      <c r="J46" s="277"/>
      <c r="K46" s="277"/>
      <c r="L46" s="277"/>
      <c r="M46" s="277"/>
      <c r="N46" s="277"/>
      <c r="O46" s="277"/>
      <c r="P46" s="277"/>
      <c r="Q46" s="263"/>
      <c r="R46" s="263"/>
      <c r="S46" s="263"/>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61"/>
      <c r="R48" s="261"/>
      <c r="S48" s="308" t="str">
        <f>'1.基本データ(このシートは削除しないこと！)'!H1</f>
        <v>令和７年度様式（令和７年４月１日以降の入札公告から適用）</v>
      </c>
      <c r="T48" s="370" t="s">
        <v>3</v>
      </c>
      <c r="U48" s="371"/>
      <c r="V48" s="31" t="e">
        <f>SUM(F53:F121)</f>
        <v>#N/A</v>
      </c>
    </row>
    <row r="49" spans="1:42" ht="14.25" customHeight="1" thickTop="1" x14ac:dyDescent="0.2">
      <c r="A49" s="1"/>
      <c r="B49" s="391" t="s">
        <v>251</v>
      </c>
      <c r="C49" s="391"/>
      <c r="D49" s="391"/>
      <c r="E49" s="391"/>
      <c r="F49" s="391"/>
      <c r="G49" s="391"/>
      <c r="H49" s="391"/>
      <c r="I49" s="216"/>
      <c r="J49" s="216"/>
      <c r="K49" s="216"/>
      <c r="L49" s="216"/>
      <c r="M49" s="216"/>
      <c r="N49" s="216"/>
      <c r="O49" s="216"/>
      <c r="P49" s="216"/>
      <c r="Q49" s="32"/>
      <c r="S49" s="167" t="s">
        <v>318</v>
      </c>
    </row>
    <row r="50" spans="1:42" ht="16.5" customHeight="1" x14ac:dyDescent="0.2">
      <c r="A50" s="1"/>
      <c r="B50" s="392" t="s">
        <v>137</v>
      </c>
      <c r="C50" s="392"/>
      <c r="D50" s="392"/>
      <c r="E50" s="393" t="str">
        <f>'1.基本データ(このシートは削除しないこと！)'!H14&amp;'1.基本データ(このシートは削除しないこと！)'!H15</f>
        <v>第○○-○○○○○-○○○○号 ○○○○○○○○○○○○工事</v>
      </c>
      <c r="F50" s="393"/>
      <c r="G50" s="393"/>
      <c r="H50" s="393"/>
      <c r="I50" s="393"/>
      <c r="J50" s="393"/>
      <c r="K50" s="393"/>
      <c r="L50" s="393"/>
      <c r="M50" s="393"/>
      <c r="N50" s="393"/>
      <c r="O50" s="393"/>
      <c r="P50" s="393"/>
      <c r="Q50" s="393"/>
      <c r="R50" s="393"/>
    </row>
    <row r="51" spans="1:42" ht="16.5" customHeight="1" thickBot="1" x14ac:dyDescent="0.25">
      <c r="A51" s="1"/>
      <c r="B51" s="464" t="s">
        <v>138</v>
      </c>
      <c r="C51" s="464"/>
      <c r="D51" s="464"/>
      <c r="E51" s="259" t="str">
        <f>IF('1.基本データ(このシートは削除しないこと！)'!H11=0,'1.基本データ(このシートは削除しないこと！)'!H7,'1.基本データ(このシートは削除しないこと！)'!H11)</f>
        <v>○○・△△特定建設工事共同企業体</v>
      </c>
      <c r="F51" s="260"/>
      <c r="G51" s="260"/>
      <c r="H51" s="260"/>
      <c r="I51" s="260"/>
      <c r="J51" s="260"/>
      <c r="K51" s="260"/>
      <c r="L51" s="260"/>
      <c r="M51" s="260"/>
      <c r="N51" s="260"/>
      <c r="O51" s="260"/>
      <c r="P51" s="260"/>
      <c r="Q51" s="260"/>
      <c r="R51" s="260"/>
      <c r="S51" s="1"/>
    </row>
    <row r="52" spans="1:42" ht="22.5" customHeight="1" thickBot="1" x14ac:dyDescent="0.25">
      <c r="A52" s="1"/>
      <c r="B52" s="394" t="s">
        <v>1</v>
      </c>
      <c r="C52" s="394"/>
      <c r="D52" s="394"/>
      <c r="E52" s="34" t="s">
        <v>167</v>
      </c>
      <c r="F52" s="170" t="s">
        <v>2</v>
      </c>
      <c r="G52" s="382" t="s">
        <v>401</v>
      </c>
      <c r="H52" s="383"/>
      <c r="I52" s="383"/>
      <c r="J52" s="383"/>
      <c r="K52" s="383"/>
      <c r="L52" s="383"/>
      <c r="M52" s="383"/>
      <c r="N52" s="383"/>
      <c r="O52" s="383"/>
      <c r="P52" s="383"/>
      <c r="Q52" s="383"/>
      <c r="R52" s="383"/>
      <c r="S52" s="384"/>
      <c r="V52" s="35" t="s">
        <v>134</v>
      </c>
      <c r="AB52" s="36"/>
      <c r="AC52" s="36"/>
      <c r="AD52" s="37" t="s">
        <v>169</v>
      </c>
      <c r="AE52" s="214" t="s">
        <v>170</v>
      </c>
      <c r="AG52" s="36"/>
      <c r="AH52" s="36"/>
      <c r="AP52" s="38" t="s">
        <v>171</v>
      </c>
    </row>
    <row r="53" spans="1:42" ht="32.1" customHeight="1" thickBot="1" x14ac:dyDescent="0.2">
      <c r="A53" s="1"/>
      <c r="B53" s="487" t="s">
        <v>216</v>
      </c>
      <c r="C53" s="492" t="s">
        <v>414</v>
      </c>
      <c r="D53" s="492"/>
      <c r="E53" s="396">
        <f>AD53</f>
        <v>1</v>
      </c>
      <c r="F53" s="395" t="str">
        <f>IF(Y53=0,"-",AP53)</f>
        <v>-</v>
      </c>
      <c r="G53" s="389" t="s">
        <v>234</v>
      </c>
      <c r="H53" s="390"/>
      <c r="I53" s="341"/>
      <c r="J53" s="342"/>
      <c r="K53" s="342"/>
      <c r="L53" s="342"/>
      <c r="M53" s="342"/>
      <c r="N53" s="342"/>
      <c r="O53" s="342"/>
      <c r="P53" s="342"/>
      <c r="Q53" s="343"/>
      <c r="R53" s="252" t="s">
        <v>294</v>
      </c>
      <c r="S53" s="355"/>
      <c r="V53" s="2">
        <f>IF(I53="",0,1)</f>
        <v>0</v>
      </c>
      <c r="W53" s="2">
        <f>IF(S53="",0,1)</f>
        <v>0</v>
      </c>
      <c r="X53" s="39"/>
      <c r="Y53" s="40">
        <f>SUM(V53:W55)</f>
        <v>0</v>
      </c>
      <c r="Z53" s="41" t="s">
        <v>199</v>
      </c>
      <c r="AB53" s="42"/>
      <c r="AC53" s="43"/>
      <c r="AD53" s="44">
        <v>1</v>
      </c>
      <c r="AE53" s="45">
        <f>IF(Y53=4,AD53,0)</f>
        <v>0</v>
      </c>
      <c r="AG53" s="42"/>
      <c r="AH53" s="42"/>
      <c r="AP53" s="46">
        <f>IF(Y53=4,AE53,0)</f>
        <v>0</v>
      </c>
    </row>
    <row r="54" spans="1:42" ht="32.1" customHeight="1" thickBot="1" x14ac:dyDescent="0.25">
      <c r="A54" s="1"/>
      <c r="B54" s="488"/>
      <c r="C54" s="492"/>
      <c r="D54" s="492"/>
      <c r="E54" s="397"/>
      <c r="F54" s="395"/>
      <c r="G54" s="387" t="s">
        <v>380</v>
      </c>
      <c r="H54" s="388"/>
      <c r="I54" s="344"/>
      <c r="J54" s="345"/>
      <c r="K54" s="345"/>
      <c r="L54" s="345"/>
      <c r="M54" s="159" t="s">
        <v>288</v>
      </c>
      <c r="N54" s="345"/>
      <c r="O54" s="345"/>
      <c r="P54" s="345"/>
      <c r="Q54" s="346"/>
      <c r="R54" s="375" t="s">
        <v>301</v>
      </c>
      <c r="S54" s="356"/>
      <c r="V54" s="2">
        <f>IF(AND(I54&lt;&gt;"",N54&lt;&gt;""),1,0)</f>
        <v>0</v>
      </c>
      <c r="W54" s="47"/>
      <c r="Z54" s="41"/>
      <c r="AB54" s="42"/>
      <c r="AC54" s="48"/>
      <c r="AD54" s="49"/>
      <c r="AE54" s="50"/>
      <c r="AG54" s="42"/>
      <c r="AH54" s="42"/>
      <c r="AI54" s="42"/>
      <c r="AJ54" s="42"/>
      <c r="AL54" s="89" t="s">
        <v>163</v>
      </c>
      <c r="AM54" s="89" t="s">
        <v>146</v>
      </c>
      <c r="AP54" s="51"/>
    </row>
    <row r="55" spans="1:42" ht="32.1" customHeight="1" thickBot="1" x14ac:dyDescent="0.25">
      <c r="A55" s="1"/>
      <c r="B55" s="488"/>
      <c r="C55" s="492"/>
      <c r="D55" s="492"/>
      <c r="E55" s="397"/>
      <c r="F55" s="395"/>
      <c r="G55" s="385" t="s">
        <v>291</v>
      </c>
      <c r="H55" s="386"/>
      <c r="I55" s="358"/>
      <c r="J55" s="578"/>
      <c r="K55" s="477" t="s">
        <v>290</v>
      </c>
      <c r="L55" s="478"/>
      <c r="M55" s="479" t="s">
        <v>334</v>
      </c>
      <c r="N55" s="480"/>
      <c r="O55" s="480"/>
      <c r="P55" s="247" t="s">
        <v>335</v>
      </c>
      <c r="Q55" s="172" t="s">
        <v>336</v>
      </c>
      <c r="R55" s="376"/>
      <c r="S55" s="357"/>
      <c r="V55" s="2">
        <f>IF(I55="",0,1)</f>
        <v>0</v>
      </c>
      <c r="W55" s="52"/>
      <c r="AB55" s="42"/>
      <c r="AC55" s="48"/>
      <c r="AD55" s="37" t="s">
        <v>163</v>
      </c>
      <c r="AE55" s="214" t="s">
        <v>146</v>
      </c>
      <c r="AG55" s="42"/>
      <c r="AH55" s="42"/>
      <c r="AI55" s="176" t="s">
        <v>374</v>
      </c>
      <c r="AJ55" s="179"/>
      <c r="AK55" s="178">
        <f>IF($I$58=AI55,1,0)</f>
        <v>0</v>
      </c>
      <c r="AL55" s="2">
        <v>0.75</v>
      </c>
      <c r="AM55" s="58">
        <f>AK55*AL55</f>
        <v>0</v>
      </c>
      <c r="AP55" s="38" t="s">
        <v>166</v>
      </c>
    </row>
    <row r="56" spans="1:42" ht="32.1" customHeight="1" thickBot="1" x14ac:dyDescent="0.2">
      <c r="A56" s="1"/>
      <c r="B56" s="488"/>
      <c r="C56" s="428" t="s">
        <v>190</v>
      </c>
      <c r="D56" s="428"/>
      <c r="E56" s="396">
        <f>AD56</f>
        <v>1</v>
      </c>
      <c r="F56" s="490" t="str">
        <f>IF(Y56=0,"-",AP56)</f>
        <v>-</v>
      </c>
      <c r="G56" s="387" t="s">
        <v>338</v>
      </c>
      <c r="H56" s="388"/>
      <c r="I56" s="173" t="s">
        <v>285</v>
      </c>
      <c r="J56" s="279"/>
      <c r="K56" s="174" t="s">
        <v>286</v>
      </c>
      <c r="L56" s="372"/>
      <c r="M56" s="373"/>
      <c r="N56" s="174" t="s">
        <v>286</v>
      </c>
      <c r="O56" s="374"/>
      <c r="P56" s="373"/>
      <c r="Q56" s="175" t="s">
        <v>287</v>
      </c>
      <c r="R56" s="252" t="s">
        <v>294</v>
      </c>
      <c r="S56" s="355"/>
      <c r="V56" s="2">
        <f>IF(AND(J56&lt;&gt;"",L56&lt;&gt;"",O56&lt;&gt;""),1,0)</f>
        <v>0</v>
      </c>
      <c r="W56" s="2">
        <f>IF(S56="",0,1)</f>
        <v>0</v>
      </c>
      <c r="X56" s="39"/>
      <c r="Y56" s="40">
        <f>SUM(V56:W58)</f>
        <v>0</v>
      </c>
      <c r="Z56" s="41" t="s">
        <v>199</v>
      </c>
      <c r="AB56" s="42"/>
      <c r="AC56" s="176" t="s">
        <v>375</v>
      </c>
      <c r="AD56" s="177">
        <v>1</v>
      </c>
      <c r="AE56" s="178">
        <f>IF($I$58=AC56,1,0)</f>
        <v>0</v>
      </c>
      <c r="AF56" s="2">
        <v>1</v>
      </c>
      <c r="AG56" s="58">
        <f>AE56*AF56</f>
        <v>0</v>
      </c>
      <c r="AI56" s="176" t="s">
        <v>289</v>
      </c>
      <c r="AJ56" s="179"/>
      <c r="AK56" s="178">
        <f>IF($I$58=AI56,1,0)</f>
        <v>0</v>
      </c>
      <c r="AL56" s="2">
        <v>0.5</v>
      </c>
      <c r="AM56" s="58">
        <f>AK56*AL56</f>
        <v>0</v>
      </c>
      <c r="AP56" s="46">
        <f>IF(Y56=4,MAX(AG56,AM55:AM56),0)</f>
        <v>0</v>
      </c>
    </row>
    <row r="57" spans="1:42" ht="32.1" customHeight="1" thickBot="1" x14ac:dyDescent="0.25">
      <c r="A57" s="1"/>
      <c r="B57" s="488"/>
      <c r="C57" s="428"/>
      <c r="D57" s="428"/>
      <c r="E57" s="397"/>
      <c r="F57" s="491"/>
      <c r="G57" s="387" t="s">
        <v>379</v>
      </c>
      <c r="H57" s="388"/>
      <c r="I57" s="353"/>
      <c r="J57" s="354"/>
      <c r="K57" s="354"/>
      <c r="L57" s="354"/>
      <c r="M57" s="174" t="s">
        <v>288</v>
      </c>
      <c r="N57" s="354"/>
      <c r="O57" s="354"/>
      <c r="P57" s="354"/>
      <c r="Q57" s="360"/>
      <c r="R57" s="375" t="s">
        <v>301</v>
      </c>
      <c r="S57" s="356"/>
      <c r="V57" s="2">
        <f>IF(AND(I57&lt;&gt;"",N57&lt;&gt;""),1,0)</f>
        <v>0</v>
      </c>
      <c r="W57" s="47"/>
      <c r="Z57" s="41"/>
      <c r="AB57" s="53"/>
      <c r="AC57" s="54"/>
      <c r="AD57" s="55"/>
      <c r="AE57" s="55"/>
      <c r="AG57" s="42"/>
      <c r="AH57" s="42"/>
    </row>
    <row r="58" spans="1:42" ht="32.1" customHeight="1" thickBot="1" x14ac:dyDescent="0.25">
      <c r="A58" s="1"/>
      <c r="B58" s="488"/>
      <c r="C58" s="428"/>
      <c r="D58" s="428"/>
      <c r="E58" s="397"/>
      <c r="F58" s="491"/>
      <c r="G58" s="387" t="s">
        <v>411</v>
      </c>
      <c r="H58" s="388"/>
      <c r="I58" s="377" t="s">
        <v>284</v>
      </c>
      <c r="J58" s="378"/>
      <c r="K58" s="378"/>
      <c r="L58" s="378"/>
      <c r="M58" s="379" t="s">
        <v>415</v>
      </c>
      <c r="N58" s="380"/>
      <c r="O58" s="380"/>
      <c r="P58" s="380"/>
      <c r="Q58" s="381"/>
      <c r="R58" s="376"/>
      <c r="S58" s="357"/>
      <c r="V58" s="2">
        <f>IF(I58="-",0,1)</f>
        <v>0</v>
      </c>
      <c r="W58" s="52" t="s">
        <v>254</v>
      </c>
      <c r="AB58" s="53"/>
      <c r="AD58" s="37" t="s">
        <v>163</v>
      </c>
      <c r="AE58" s="214" t="s">
        <v>146</v>
      </c>
      <c r="AG58" s="42"/>
      <c r="AH58" s="42"/>
      <c r="AP58" s="38" t="s">
        <v>166</v>
      </c>
    </row>
    <row r="59" spans="1:42" ht="32.1" customHeight="1" thickBot="1" x14ac:dyDescent="0.25">
      <c r="A59" s="1"/>
      <c r="B59" s="488"/>
      <c r="C59" s="481" t="s">
        <v>191</v>
      </c>
      <c r="D59" s="482"/>
      <c r="E59" s="396">
        <f>AD59</f>
        <v>1</v>
      </c>
      <c r="F59" s="485" t="str">
        <f>IF(Y59=0,"-",AP59)</f>
        <v>-</v>
      </c>
      <c r="G59" s="385" t="s">
        <v>292</v>
      </c>
      <c r="H59" s="386"/>
      <c r="I59" s="350"/>
      <c r="J59" s="351"/>
      <c r="K59" s="351"/>
      <c r="L59" s="351"/>
      <c r="M59" s="351"/>
      <c r="N59" s="351"/>
      <c r="O59" s="351"/>
      <c r="P59" s="351"/>
      <c r="Q59" s="352"/>
      <c r="R59" s="569" t="s">
        <v>418</v>
      </c>
      <c r="S59" s="355"/>
      <c r="V59" s="2">
        <f>IF(I59="",0,1)</f>
        <v>0</v>
      </c>
      <c r="W59" s="2">
        <f>IF(S59="",0,1)</f>
        <v>0</v>
      </c>
      <c r="Y59" s="40">
        <f>SUM(V59:W60)</f>
        <v>0</v>
      </c>
      <c r="Z59" s="41" t="s">
        <v>410</v>
      </c>
      <c r="AA59" s="56"/>
      <c r="AB59" s="53"/>
      <c r="AC59" s="48"/>
      <c r="AD59" s="44">
        <v>1</v>
      </c>
      <c r="AE59" s="45">
        <f>IF(Y59=3,AD59,0)</f>
        <v>0</v>
      </c>
      <c r="AG59" s="42"/>
      <c r="AH59" s="42"/>
      <c r="AP59" s="46">
        <f>IF(Y59=3,AE59,0)</f>
        <v>0</v>
      </c>
    </row>
    <row r="60" spans="1:42" ht="32.1" customHeight="1" thickBot="1" x14ac:dyDescent="0.25">
      <c r="A60" s="1"/>
      <c r="B60" s="488"/>
      <c r="C60" s="483"/>
      <c r="D60" s="484"/>
      <c r="E60" s="398"/>
      <c r="F60" s="486"/>
      <c r="G60" s="385" t="s">
        <v>193</v>
      </c>
      <c r="H60" s="386"/>
      <c r="I60" s="350"/>
      <c r="J60" s="351"/>
      <c r="K60" s="351"/>
      <c r="L60" s="351"/>
      <c r="M60" s="351"/>
      <c r="N60" s="351"/>
      <c r="O60" s="351"/>
      <c r="P60" s="351"/>
      <c r="Q60" s="352"/>
      <c r="R60" s="570"/>
      <c r="S60" s="357"/>
      <c r="V60" s="2">
        <f>IF(I60="",0,1)</f>
        <v>0</v>
      </c>
      <c r="W60" s="52"/>
      <c r="AA60" s="56"/>
      <c r="AB60" s="53"/>
      <c r="AC60" s="48"/>
      <c r="AD60" s="49"/>
      <c r="AE60" s="49"/>
      <c r="AG60" s="42"/>
      <c r="AH60" s="42"/>
      <c r="AP60" s="38" t="s">
        <v>166</v>
      </c>
    </row>
    <row r="61" spans="1:42" ht="32.1" customHeight="1" thickBot="1" x14ac:dyDescent="0.25">
      <c r="A61" s="1"/>
      <c r="B61" s="488"/>
      <c r="C61" s="428" t="s">
        <v>194</v>
      </c>
      <c r="D61" s="428"/>
      <c r="E61" s="218">
        <f>AD61</f>
        <v>0.5</v>
      </c>
      <c r="F61" s="215" t="str">
        <f>AP61</f>
        <v>-</v>
      </c>
      <c r="G61" s="473" t="s">
        <v>412</v>
      </c>
      <c r="H61" s="474"/>
      <c r="I61" s="493" t="s">
        <v>284</v>
      </c>
      <c r="J61" s="494"/>
      <c r="K61" s="494"/>
      <c r="L61" s="494"/>
      <c r="M61" s="494"/>
      <c r="N61" s="494"/>
      <c r="O61" s="494"/>
      <c r="P61" s="494"/>
      <c r="Q61" s="495"/>
      <c r="R61" s="363"/>
      <c r="S61" s="364"/>
      <c r="V61" s="2">
        <f>IF(I61="有",1,0)</f>
        <v>0</v>
      </c>
      <c r="W61" s="41" t="s">
        <v>172</v>
      </c>
      <c r="AB61" s="57"/>
      <c r="AC61" s="57"/>
      <c r="AD61" s="58">
        <v>0.5</v>
      </c>
      <c r="AE61" s="59"/>
      <c r="AG61" s="57"/>
      <c r="AH61" s="57"/>
      <c r="AI61" s="57"/>
      <c r="AJ61" s="57"/>
      <c r="AK61" s="57"/>
      <c r="AP61" s="60" t="str">
        <f>IF(V61=1,AD61,"-")</f>
        <v>-</v>
      </c>
    </row>
    <row r="62" spans="1:42" ht="49.35" customHeight="1" thickBot="1" x14ac:dyDescent="0.25">
      <c r="A62" s="1"/>
      <c r="B62" s="488"/>
      <c r="C62" s="420" t="s">
        <v>195</v>
      </c>
      <c r="D62" s="420"/>
      <c r="E62" s="313">
        <f>AD62</f>
        <v>0.5</v>
      </c>
      <c r="F62" s="314" t="str">
        <f>AP62</f>
        <v>-</v>
      </c>
      <c r="G62" s="471" t="s">
        <v>466</v>
      </c>
      <c r="H62" s="472"/>
      <c r="I62" s="472"/>
      <c r="J62" s="472"/>
      <c r="K62" s="472"/>
      <c r="L62" s="472"/>
      <c r="M62" s="472"/>
      <c r="N62" s="472"/>
      <c r="O62" s="472"/>
      <c r="P62" s="472"/>
      <c r="Q62" s="472"/>
      <c r="R62" s="165" t="s">
        <v>402</v>
      </c>
      <c r="S62" s="192" t="s">
        <v>284</v>
      </c>
      <c r="V62" s="61">
        <f>IF(OR(S62="標準型：9名以上　(簡易型：4名以上)",S62="技能士あり"),1,0)</f>
        <v>0</v>
      </c>
      <c r="W62" s="41" t="s">
        <v>172</v>
      </c>
      <c r="AB62" s="57"/>
      <c r="AC62" s="57"/>
      <c r="AD62" s="62">
        <v>0.5</v>
      </c>
      <c r="AE62" s="59"/>
      <c r="AG62" s="57"/>
      <c r="AH62" s="57"/>
      <c r="AI62" s="57"/>
      <c r="AJ62" s="57"/>
      <c r="AK62" s="57"/>
      <c r="AP62" s="63" t="str">
        <f t="shared" ref="AP62:AP63" si="0">IF(V62=1,AD62,"-")</f>
        <v>-</v>
      </c>
    </row>
    <row r="63" spans="1:42" ht="32.1" customHeight="1" thickBot="1" x14ac:dyDescent="0.25">
      <c r="A63" s="1"/>
      <c r="B63" s="489"/>
      <c r="C63" s="387" t="s">
        <v>320</v>
      </c>
      <c r="D63" s="577"/>
      <c r="E63" s="168">
        <f>AD63</f>
        <v>0.25</v>
      </c>
      <c r="F63" s="171" t="str">
        <f>AP63</f>
        <v>-</v>
      </c>
      <c r="G63" s="361" t="s">
        <v>435</v>
      </c>
      <c r="H63" s="362"/>
      <c r="I63" s="362"/>
      <c r="J63" s="362"/>
      <c r="K63" s="362"/>
      <c r="L63" s="362"/>
      <c r="M63" s="362"/>
      <c r="N63" s="362"/>
      <c r="O63" s="362"/>
      <c r="P63" s="362"/>
      <c r="Q63" s="362"/>
      <c r="R63" s="166" t="s">
        <v>403</v>
      </c>
      <c r="S63" s="193" t="s">
        <v>284</v>
      </c>
      <c r="V63" s="2">
        <f>IF(S63="有",1,0)</f>
        <v>0</v>
      </c>
      <c r="W63" s="52"/>
      <c r="AD63" s="58">
        <v>0.25</v>
      </c>
      <c r="AE63" s="64"/>
      <c r="AG63" s="42"/>
      <c r="AH63" s="42"/>
      <c r="AP63" s="65" t="str">
        <f t="shared" si="0"/>
        <v>-</v>
      </c>
    </row>
    <row r="64" spans="1:42" ht="32.1" customHeight="1" thickBot="1" x14ac:dyDescent="0.25">
      <c r="A64" s="1"/>
      <c r="B64" s="489"/>
      <c r="C64" s="387" t="s">
        <v>413</v>
      </c>
      <c r="D64" s="577"/>
      <c r="E64" s="168">
        <f t="shared" ref="E64" si="1">AD64</f>
        <v>0.25</v>
      </c>
      <c r="F64" s="171" t="str">
        <f>IF('1.基本データ(このシートは削除しないこと！)'!H16=1,AP64,"-")</f>
        <v>-</v>
      </c>
      <c r="G64" s="361" t="s">
        <v>467</v>
      </c>
      <c r="H64" s="362"/>
      <c r="I64" s="362"/>
      <c r="J64" s="362"/>
      <c r="K64" s="362"/>
      <c r="L64" s="362"/>
      <c r="M64" s="362"/>
      <c r="N64" s="362"/>
      <c r="O64" s="362"/>
      <c r="P64" s="362"/>
      <c r="Q64" s="362"/>
      <c r="R64" s="166" t="s">
        <v>404</v>
      </c>
      <c r="S64" s="193" t="s">
        <v>284</v>
      </c>
      <c r="V64" s="2">
        <f>IF(S64="有",1,0)</f>
        <v>0</v>
      </c>
      <c r="AD64" s="58">
        <v>0.25</v>
      </c>
      <c r="AE64" s="66">
        <f>IF('1.基本データ(このシートは削除しないこと！)'!H16=1,1,0)</f>
        <v>0</v>
      </c>
      <c r="AF64">
        <f>AD64*AE64</f>
        <v>0</v>
      </c>
      <c r="AG64" s="42"/>
      <c r="AH64" s="42"/>
      <c r="AL64" s="89" t="s">
        <v>163</v>
      </c>
      <c r="AM64" s="89" t="s">
        <v>146</v>
      </c>
      <c r="AP64" s="65" t="str">
        <f>IF(V64=1,AF64,"-")</f>
        <v>-</v>
      </c>
    </row>
    <row r="65" spans="1:42" ht="32.1" customHeight="1" thickBot="1" x14ac:dyDescent="0.25">
      <c r="A65" s="1"/>
      <c r="B65" s="489"/>
      <c r="C65" s="387" t="s">
        <v>321</v>
      </c>
      <c r="D65" s="577"/>
      <c r="E65" s="168">
        <f>AD65</f>
        <v>0.25</v>
      </c>
      <c r="F65" s="171" t="str">
        <f>AP65</f>
        <v>-</v>
      </c>
      <c r="G65" s="361" t="s">
        <v>317</v>
      </c>
      <c r="H65" s="362"/>
      <c r="I65" s="362"/>
      <c r="J65" s="362"/>
      <c r="K65" s="362"/>
      <c r="L65" s="362"/>
      <c r="M65" s="362"/>
      <c r="N65" s="362"/>
      <c r="O65" s="362"/>
      <c r="P65" s="362"/>
      <c r="Q65" s="362"/>
      <c r="R65" s="166" t="s">
        <v>404</v>
      </c>
      <c r="S65" s="193" t="s">
        <v>284</v>
      </c>
      <c r="V65" s="2">
        <f>IF(S65="有",1,0)</f>
        <v>0</v>
      </c>
      <c r="AD65" s="58">
        <v>0.25</v>
      </c>
      <c r="AG65" s="42"/>
      <c r="AH65" s="42"/>
      <c r="AJ65" s="278" t="s">
        <v>448</v>
      </c>
      <c r="AK65" s="178">
        <f>IF($S$66=AJ65,1,0)</f>
        <v>0</v>
      </c>
      <c r="AL65" s="2">
        <v>0.5</v>
      </c>
      <c r="AM65" s="58">
        <f>AK65*AL65*AE66</f>
        <v>0</v>
      </c>
      <c r="AP65" s="157" t="str">
        <f>IF(V65=1,AD65,"-")</f>
        <v>-</v>
      </c>
    </row>
    <row r="66" spans="1:42" ht="32.1" customHeight="1" thickBot="1" x14ac:dyDescent="0.25">
      <c r="A66" s="1"/>
      <c r="B66" s="489"/>
      <c r="C66" s="387" t="s">
        <v>252</v>
      </c>
      <c r="D66" s="577"/>
      <c r="E66" s="168">
        <f>AD66</f>
        <v>0.5</v>
      </c>
      <c r="F66" s="171" t="str">
        <f>IF('1.基本データ(このシートは削除しないこと！)'!H16=1,AP66,"-")</f>
        <v>-</v>
      </c>
      <c r="G66" s="361" t="s">
        <v>468</v>
      </c>
      <c r="H66" s="362"/>
      <c r="I66" s="362"/>
      <c r="J66" s="362"/>
      <c r="K66" s="362"/>
      <c r="L66" s="362"/>
      <c r="M66" s="362"/>
      <c r="N66" s="362"/>
      <c r="O66" s="362"/>
      <c r="P66" s="362"/>
      <c r="Q66" s="362"/>
      <c r="R66" s="166" t="s">
        <v>405</v>
      </c>
      <c r="S66" s="193" t="s">
        <v>284</v>
      </c>
      <c r="V66" s="2">
        <f>IF(S66="-",0,1)</f>
        <v>0</v>
      </c>
      <c r="AD66" s="58">
        <v>0.5</v>
      </c>
      <c r="AE66" s="66">
        <f>IF('1.基本データ(このシートは削除しないこと！)'!H16=1,1,0)</f>
        <v>0</v>
      </c>
      <c r="AG66" s="42"/>
      <c r="AH66" s="42"/>
      <c r="AJ66" s="278" t="s">
        <v>449</v>
      </c>
      <c r="AK66" s="178">
        <f>IF($S$66=AJ66,1,0)</f>
        <v>0</v>
      </c>
      <c r="AL66" s="2">
        <v>0.25</v>
      </c>
      <c r="AM66" s="58">
        <f>AK66*AL66*AE66</f>
        <v>0</v>
      </c>
      <c r="AP66" s="68" t="str">
        <f>IF(V66=1,MAX(AM65:AM66),"-")</f>
        <v>-</v>
      </c>
    </row>
    <row r="67" spans="1:42" ht="24.9" customHeight="1" thickBot="1" x14ac:dyDescent="0.25">
      <c r="A67" s="1"/>
      <c r="B67" s="566" t="s">
        <v>217</v>
      </c>
      <c r="C67" s="418" t="s">
        <v>238</v>
      </c>
      <c r="D67" s="422" t="s">
        <v>239</v>
      </c>
      <c r="E67" s="248"/>
      <c r="F67" s="248"/>
      <c r="G67" s="475" t="s">
        <v>451</v>
      </c>
      <c r="H67" s="476"/>
      <c r="I67" s="465" t="s">
        <v>197</v>
      </c>
      <c r="J67" s="466"/>
      <c r="K67" s="466"/>
      <c r="L67" s="466"/>
      <c r="M67" s="466"/>
      <c r="N67" s="466"/>
      <c r="O67" s="466"/>
      <c r="P67" s="466"/>
      <c r="Q67" s="466"/>
      <c r="R67" s="467"/>
      <c r="S67" s="180" t="s">
        <v>459</v>
      </c>
      <c r="AD67" s="69" t="s">
        <v>163</v>
      </c>
      <c r="AP67" s="38" t="s">
        <v>166</v>
      </c>
    </row>
    <row r="68" spans="1:42" ht="32.1" customHeight="1" thickBot="1" x14ac:dyDescent="0.25">
      <c r="A68" s="1"/>
      <c r="B68" s="567"/>
      <c r="C68" s="419"/>
      <c r="D68" s="422"/>
      <c r="E68" s="396">
        <f>AD68</f>
        <v>0.5</v>
      </c>
      <c r="F68" s="423" t="str">
        <f>IF(SUM(Z68:Z70)=0,"-",AP68)</f>
        <v>-</v>
      </c>
      <c r="G68" s="591"/>
      <c r="H68" s="592"/>
      <c r="I68" s="468"/>
      <c r="J68" s="469"/>
      <c r="K68" s="469"/>
      <c r="L68" s="469"/>
      <c r="M68" s="469"/>
      <c r="N68" s="469"/>
      <c r="O68" s="469"/>
      <c r="P68" s="469"/>
      <c r="Q68" s="469"/>
      <c r="R68" s="470"/>
      <c r="S68" s="194"/>
      <c r="V68" s="40">
        <f>IF(G68="",0,1)</f>
        <v>0</v>
      </c>
      <c r="W68" s="70">
        <f>IF(I68="",0,1)</f>
        <v>0</v>
      </c>
      <c r="X68" s="2">
        <f>IF(S68&gt;=10,1,0)</f>
        <v>0</v>
      </c>
      <c r="Y68" s="39"/>
      <c r="Z68" s="40">
        <f>SUM(V68:X68)</f>
        <v>0</v>
      </c>
      <c r="AA68" s="41" t="s">
        <v>250</v>
      </c>
      <c r="AD68" s="71">
        <v>0.5</v>
      </c>
      <c r="AP68" s="72">
        <f>IF(OR(Z68=3,Z69=3,Z70=3),AD68,0)</f>
        <v>0</v>
      </c>
    </row>
    <row r="69" spans="1:42" ht="32.1" customHeight="1" thickBot="1" x14ac:dyDescent="0.25">
      <c r="A69" s="1"/>
      <c r="B69" s="567"/>
      <c r="C69" s="419"/>
      <c r="D69" s="421"/>
      <c r="E69" s="397"/>
      <c r="F69" s="424"/>
      <c r="G69" s="593" t="s">
        <v>450</v>
      </c>
      <c r="H69" s="594"/>
      <c r="I69" s="414"/>
      <c r="J69" s="415"/>
      <c r="K69" s="415"/>
      <c r="L69" s="415"/>
      <c r="M69" s="415"/>
      <c r="N69" s="415"/>
      <c r="O69" s="415"/>
      <c r="P69" s="415"/>
      <c r="Q69" s="415"/>
      <c r="R69" s="416"/>
      <c r="S69" s="195"/>
      <c r="V69" s="73" t="s">
        <v>253</v>
      </c>
      <c r="W69" s="2">
        <f>IF(I69="",0,1)</f>
        <v>0</v>
      </c>
      <c r="X69" s="2">
        <f>IF(S69&gt;=10,1,0)</f>
        <v>0</v>
      </c>
      <c r="Y69" s="74"/>
      <c r="Z69" s="40">
        <f>V68+SUM(W69:X69)</f>
        <v>0</v>
      </c>
      <c r="AA69" s="41" t="s">
        <v>250</v>
      </c>
      <c r="AD69" s="75"/>
      <c r="AP69" s="36"/>
    </row>
    <row r="70" spans="1:42" ht="32.1" customHeight="1" thickBot="1" x14ac:dyDescent="0.25">
      <c r="A70" s="1"/>
      <c r="B70" s="567"/>
      <c r="C70" s="419"/>
      <c r="D70" s="420" t="s">
        <v>240</v>
      </c>
      <c r="E70" s="397"/>
      <c r="F70" s="424"/>
      <c r="G70" s="404" t="s">
        <v>198</v>
      </c>
      <c r="H70" s="405"/>
      <c r="I70" s="347" t="s">
        <v>316</v>
      </c>
      <c r="J70" s="348"/>
      <c r="K70" s="348"/>
      <c r="L70" s="348"/>
      <c r="M70" s="348"/>
      <c r="N70" s="348"/>
      <c r="O70" s="348"/>
      <c r="P70" s="348"/>
      <c r="Q70" s="348"/>
      <c r="R70" s="349"/>
      <c r="S70" s="196"/>
      <c r="W70" s="76"/>
      <c r="X70" s="2">
        <f>IF(S70="",0,1)</f>
        <v>0</v>
      </c>
      <c r="Y70" s="2">
        <f>IF(S71="",0,1)</f>
        <v>0</v>
      </c>
      <c r="Z70" s="40">
        <f>V68+SUM(X70:Y70)</f>
        <v>0</v>
      </c>
      <c r="AA70" s="41" t="s">
        <v>250</v>
      </c>
      <c r="AD70" s="77"/>
      <c r="AP70" s="36"/>
    </row>
    <row r="71" spans="1:42" ht="32.1" customHeight="1" thickBot="1" x14ac:dyDescent="0.25">
      <c r="A71" s="1"/>
      <c r="B71" s="567"/>
      <c r="C71" s="419"/>
      <c r="D71" s="421"/>
      <c r="E71" s="398"/>
      <c r="F71" s="425"/>
      <c r="G71" s="406"/>
      <c r="H71" s="407"/>
      <c r="I71" s="399" t="s">
        <v>235</v>
      </c>
      <c r="J71" s="400"/>
      <c r="K71" s="400"/>
      <c r="L71" s="400"/>
      <c r="M71" s="400"/>
      <c r="N71" s="400"/>
      <c r="O71" s="400"/>
      <c r="P71" s="400"/>
      <c r="Q71" s="400"/>
      <c r="R71" s="401"/>
      <c r="S71" s="196"/>
      <c r="AD71" s="37" t="s">
        <v>163</v>
      </c>
      <c r="AE71" s="214" t="s">
        <v>146</v>
      </c>
      <c r="AP71" s="38" t="s">
        <v>166</v>
      </c>
    </row>
    <row r="72" spans="1:42" ht="25.2" customHeight="1" thickBot="1" x14ac:dyDescent="0.25">
      <c r="A72" s="1"/>
      <c r="B72" s="567"/>
      <c r="C72" s="408" t="s">
        <v>417</v>
      </c>
      <c r="D72" s="409"/>
      <c r="E72" s="417">
        <f>AD72</f>
        <v>1</v>
      </c>
      <c r="F72" s="395" t="str">
        <f>IF(Y72=0,"-",AP72)</f>
        <v>-</v>
      </c>
      <c r="G72" s="389" t="s">
        <v>234</v>
      </c>
      <c r="H72" s="390"/>
      <c r="I72" s="341"/>
      <c r="J72" s="342"/>
      <c r="K72" s="342"/>
      <c r="L72" s="342"/>
      <c r="M72" s="342"/>
      <c r="N72" s="342"/>
      <c r="O72" s="342"/>
      <c r="P72" s="342"/>
      <c r="Q72" s="343"/>
      <c r="R72" s="602" t="s">
        <v>422</v>
      </c>
      <c r="S72" s="355"/>
      <c r="V72" s="2">
        <f>IF(I72="",0,1)</f>
        <v>0</v>
      </c>
      <c r="W72" s="2">
        <f>IF(S72="",0,1)</f>
        <v>0</v>
      </c>
      <c r="X72" s="39"/>
      <c r="Y72" s="40">
        <f>SUM(V72:W75)</f>
        <v>0</v>
      </c>
      <c r="Z72" s="41" t="s">
        <v>270</v>
      </c>
      <c r="AB72" s="78"/>
      <c r="AC72" s="78"/>
      <c r="AD72" s="58">
        <v>1</v>
      </c>
      <c r="AE72" s="45">
        <f>IF(Y72=5,AD72*V68,0)</f>
        <v>0</v>
      </c>
      <c r="AG72" s="78"/>
      <c r="AH72" s="78"/>
      <c r="AP72" s="46">
        <f>IF(Y72=5,AE72,0)</f>
        <v>0</v>
      </c>
    </row>
    <row r="73" spans="1:42" ht="25.2" customHeight="1" thickBot="1" x14ac:dyDescent="0.25">
      <c r="A73" s="1"/>
      <c r="B73" s="567"/>
      <c r="C73" s="410"/>
      <c r="D73" s="411"/>
      <c r="E73" s="417"/>
      <c r="F73" s="395"/>
      <c r="G73" s="387" t="s">
        <v>380</v>
      </c>
      <c r="H73" s="388"/>
      <c r="I73" s="344"/>
      <c r="J73" s="345"/>
      <c r="K73" s="345"/>
      <c r="L73" s="345"/>
      <c r="M73" s="159" t="s">
        <v>288</v>
      </c>
      <c r="N73" s="345"/>
      <c r="O73" s="345"/>
      <c r="P73" s="345"/>
      <c r="Q73" s="346"/>
      <c r="R73" s="603"/>
      <c r="S73" s="356"/>
      <c r="V73" s="2">
        <f>IF(AND(I73&lt;&gt;"",N73&lt;&gt;""),1,0)</f>
        <v>0</v>
      </c>
      <c r="W73" s="47"/>
      <c r="Z73" s="41"/>
      <c r="AB73" s="78"/>
      <c r="AC73" s="78"/>
      <c r="AD73" s="79"/>
      <c r="AE73" s="51"/>
      <c r="AG73" s="78"/>
      <c r="AH73" s="78"/>
      <c r="AP73" s="80"/>
    </row>
    <row r="74" spans="1:42" ht="25.2" customHeight="1" thickBot="1" x14ac:dyDescent="0.25">
      <c r="A74" s="1"/>
      <c r="B74" s="567"/>
      <c r="C74" s="410"/>
      <c r="D74" s="411"/>
      <c r="E74" s="417"/>
      <c r="F74" s="395"/>
      <c r="G74" s="473" t="s">
        <v>378</v>
      </c>
      <c r="H74" s="474"/>
      <c r="I74" s="344"/>
      <c r="J74" s="345"/>
      <c r="K74" s="345"/>
      <c r="L74" s="345"/>
      <c r="M74" s="159" t="s">
        <v>288</v>
      </c>
      <c r="N74" s="345"/>
      <c r="O74" s="345"/>
      <c r="P74" s="345"/>
      <c r="Q74" s="346"/>
      <c r="R74" s="603"/>
      <c r="S74" s="356"/>
      <c r="V74" s="2">
        <f>IF(AND(I74&lt;&gt;"",N74&lt;&gt;""),1,0)</f>
        <v>0</v>
      </c>
      <c r="W74" s="52"/>
      <c r="Z74" s="41"/>
      <c r="AB74" s="78"/>
      <c r="AC74" s="78"/>
      <c r="AD74" s="79"/>
      <c r="AE74" s="51"/>
      <c r="AG74" s="78"/>
      <c r="AH74" s="78"/>
      <c r="AP74" s="80"/>
    </row>
    <row r="75" spans="1:42" ht="32.1" customHeight="1" thickBot="1" x14ac:dyDescent="0.25">
      <c r="A75" s="1"/>
      <c r="B75" s="567"/>
      <c r="C75" s="410"/>
      <c r="D75" s="411"/>
      <c r="E75" s="417"/>
      <c r="F75" s="395"/>
      <c r="G75" s="385" t="s">
        <v>293</v>
      </c>
      <c r="H75" s="386"/>
      <c r="I75" s="358"/>
      <c r="J75" s="359"/>
      <c r="K75" s="477" t="s">
        <v>290</v>
      </c>
      <c r="L75" s="478"/>
      <c r="M75" s="479" t="s">
        <v>334</v>
      </c>
      <c r="N75" s="480"/>
      <c r="O75" s="480"/>
      <c r="P75" s="247" t="s">
        <v>335</v>
      </c>
      <c r="Q75" s="172" t="s">
        <v>336</v>
      </c>
      <c r="R75" s="604"/>
      <c r="S75" s="357"/>
      <c r="V75" s="2">
        <f>IF(I75="",0,1)</f>
        <v>0</v>
      </c>
      <c r="W75" s="52"/>
      <c r="AB75" s="78"/>
      <c r="AC75" s="78"/>
      <c r="AD75" s="37" t="s">
        <v>163</v>
      </c>
      <c r="AE75" s="214" t="s">
        <v>146</v>
      </c>
      <c r="AG75" s="78"/>
      <c r="AH75" s="78"/>
      <c r="AP75" s="38" t="s">
        <v>166</v>
      </c>
    </row>
    <row r="76" spans="1:42" ht="25.2" customHeight="1" thickBot="1" x14ac:dyDescent="0.25">
      <c r="A76" s="1"/>
      <c r="B76" s="567"/>
      <c r="C76" s="402" t="s">
        <v>416</v>
      </c>
      <c r="D76" s="403"/>
      <c r="E76" s="417">
        <f>AD76</f>
        <v>1.5</v>
      </c>
      <c r="F76" s="395" t="str">
        <f>IF(Y76=0,"-",AP76)</f>
        <v>-</v>
      </c>
      <c r="G76" s="473" t="s">
        <v>295</v>
      </c>
      <c r="H76" s="474"/>
      <c r="I76" s="160" t="s">
        <v>285</v>
      </c>
      <c r="J76" s="279"/>
      <c r="K76" s="174" t="s">
        <v>286</v>
      </c>
      <c r="L76" s="372"/>
      <c r="M76" s="373"/>
      <c r="N76" s="174" t="s">
        <v>286</v>
      </c>
      <c r="O76" s="374"/>
      <c r="P76" s="373"/>
      <c r="Q76" s="181" t="s">
        <v>287</v>
      </c>
      <c r="R76" s="412" t="s">
        <v>473</v>
      </c>
      <c r="S76" s="579"/>
      <c r="V76" s="2">
        <f>IF(AND(J76&lt;&gt;"",L76&lt;&gt;"",O76&lt;&gt;""),1,0)</f>
        <v>0</v>
      </c>
      <c r="W76" s="2">
        <f>IF(S76="",0,1)</f>
        <v>0</v>
      </c>
      <c r="X76" s="39"/>
      <c r="Y76" s="40">
        <f>SUM(V76:W78)</f>
        <v>0</v>
      </c>
      <c r="Z76" s="41" t="s">
        <v>270</v>
      </c>
      <c r="AB76" s="318" t="s">
        <v>375</v>
      </c>
      <c r="AC76" s="37">
        <f>IF(S78=AB76,1,0)</f>
        <v>0</v>
      </c>
      <c r="AD76" s="58">
        <v>1.5</v>
      </c>
      <c r="AE76" s="45">
        <f>IF(Y76=5,AD76*V$68*AC76,0)</f>
        <v>0</v>
      </c>
      <c r="AG76" s="78"/>
      <c r="AH76" s="78"/>
      <c r="AP76" s="319">
        <f>IF(Y76=5,MAX(AE76:AE77),0)</f>
        <v>0</v>
      </c>
    </row>
    <row r="77" spans="1:42" ht="25.2" customHeight="1" thickBot="1" x14ac:dyDescent="0.25">
      <c r="A77" s="1"/>
      <c r="B77" s="567"/>
      <c r="C77" s="404"/>
      <c r="D77" s="405"/>
      <c r="E77" s="417"/>
      <c r="F77" s="395"/>
      <c r="G77" s="387" t="s">
        <v>339</v>
      </c>
      <c r="H77" s="388"/>
      <c r="I77" s="353"/>
      <c r="J77" s="354"/>
      <c r="K77" s="354"/>
      <c r="L77" s="354"/>
      <c r="M77" s="174" t="s">
        <v>288</v>
      </c>
      <c r="N77" s="354"/>
      <c r="O77" s="354"/>
      <c r="P77" s="354"/>
      <c r="Q77" s="360"/>
      <c r="R77" s="413"/>
      <c r="S77" s="580"/>
      <c r="V77" s="2">
        <f>IF(AND(I77&lt;&gt;"",N77&lt;&gt;""),1,0)</f>
        <v>0</v>
      </c>
      <c r="W77" s="2">
        <f>IF(S78="-",0,1)</f>
        <v>0</v>
      </c>
      <c r="AB77" s="318" t="s">
        <v>374</v>
      </c>
      <c r="AC77" s="37">
        <f>IF(S78=AB77,1,0)</f>
        <v>0</v>
      </c>
      <c r="AD77" s="58">
        <v>1</v>
      </c>
      <c r="AE77" s="45">
        <f>IF(Y76=5,AD77*V$68*AC77,0)</f>
        <v>0</v>
      </c>
      <c r="AG77" s="78"/>
      <c r="AH77" s="78"/>
    </row>
    <row r="78" spans="1:42" ht="25.2" customHeight="1" thickBot="1" x14ac:dyDescent="0.25">
      <c r="A78" s="1"/>
      <c r="B78" s="567"/>
      <c r="C78" s="406"/>
      <c r="D78" s="407"/>
      <c r="E78" s="417"/>
      <c r="F78" s="395"/>
      <c r="G78" s="387" t="s">
        <v>340</v>
      </c>
      <c r="H78" s="388"/>
      <c r="I78" s="353"/>
      <c r="J78" s="354"/>
      <c r="K78" s="354"/>
      <c r="L78" s="354"/>
      <c r="M78" s="174" t="s">
        <v>288</v>
      </c>
      <c r="N78" s="354"/>
      <c r="O78" s="354"/>
      <c r="P78" s="354"/>
      <c r="Q78" s="360"/>
      <c r="R78" s="317" t="s">
        <v>472</v>
      </c>
      <c r="S78" s="320" t="s">
        <v>284</v>
      </c>
      <c r="V78" s="2">
        <f>IF(AND(I78&lt;&gt;"",N78&lt;&gt;""),1,0)</f>
        <v>0</v>
      </c>
      <c r="W78" s="52"/>
      <c r="AB78" s="78"/>
      <c r="AC78" s="78"/>
      <c r="AE78" s="78"/>
      <c r="AG78" s="78"/>
      <c r="AH78" s="78"/>
    </row>
    <row r="79" spans="1:42" ht="25.2" customHeight="1" thickBot="1" x14ac:dyDescent="0.25">
      <c r="A79" s="1"/>
      <c r="B79" s="567"/>
      <c r="C79" s="404" t="s">
        <v>452</v>
      </c>
      <c r="D79" s="405"/>
      <c r="E79" s="396">
        <f>AD79</f>
        <v>1</v>
      </c>
      <c r="F79" s="485" t="str">
        <f>IF(Y79=0,"-",AP79)</f>
        <v>-</v>
      </c>
      <c r="G79" s="385" t="s">
        <v>192</v>
      </c>
      <c r="H79" s="386"/>
      <c r="I79" s="350"/>
      <c r="J79" s="351"/>
      <c r="K79" s="351"/>
      <c r="L79" s="351"/>
      <c r="M79" s="351"/>
      <c r="N79" s="351"/>
      <c r="O79" s="351"/>
      <c r="P79" s="351"/>
      <c r="Q79" s="352"/>
      <c r="R79" s="569" t="s">
        <v>419</v>
      </c>
      <c r="S79" s="355"/>
      <c r="V79" s="2">
        <f>IF(I79="",0,1)</f>
        <v>0</v>
      </c>
      <c r="W79" s="2">
        <f>IF(S79="",0,1)</f>
        <v>0</v>
      </c>
      <c r="X79" s="39"/>
      <c r="Y79" s="40">
        <f>SUM(V79:W80)</f>
        <v>0</v>
      </c>
      <c r="Z79" s="41" t="s">
        <v>421</v>
      </c>
      <c r="AA79" s="56"/>
      <c r="AB79" s="53"/>
      <c r="AC79" s="48"/>
      <c r="AD79" s="44">
        <v>1</v>
      </c>
      <c r="AE79" s="45">
        <f>IF(Y79=3,AD79*V68,0)</f>
        <v>0</v>
      </c>
      <c r="AG79" s="42"/>
      <c r="AH79" s="42"/>
      <c r="AP79" s="46">
        <f>IF(Y79=3,AE79,0)</f>
        <v>0</v>
      </c>
    </row>
    <row r="80" spans="1:42" ht="25.2" customHeight="1" thickBot="1" x14ac:dyDescent="0.25">
      <c r="A80" s="1"/>
      <c r="B80" s="568"/>
      <c r="C80" s="406"/>
      <c r="D80" s="407"/>
      <c r="E80" s="398"/>
      <c r="F80" s="486"/>
      <c r="G80" s="385" t="s">
        <v>193</v>
      </c>
      <c r="H80" s="386"/>
      <c r="I80" s="350"/>
      <c r="J80" s="351"/>
      <c r="K80" s="351"/>
      <c r="L80" s="351"/>
      <c r="M80" s="351"/>
      <c r="N80" s="351"/>
      <c r="O80" s="351"/>
      <c r="P80" s="351"/>
      <c r="Q80" s="352"/>
      <c r="R80" s="570"/>
      <c r="S80" s="357"/>
      <c r="V80" s="2">
        <f>IF(I80="",0,1)</f>
        <v>0</v>
      </c>
      <c r="W80" s="52"/>
      <c r="AA80" s="56"/>
      <c r="AB80" s="53"/>
      <c r="AC80" s="48"/>
      <c r="AD80" s="81"/>
      <c r="AE80" s="36"/>
      <c r="AG80" s="42"/>
      <c r="AH80" s="42"/>
      <c r="AP80" s="36"/>
    </row>
    <row r="81" spans="1:42" s="27" customFormat="1" ht="20.100000000000001" customHeight="1" x14ac:dyDescent="0.2">
      <c r="A81" s="3"/>
      <c r="B81" s="565" t="s">
        <v>391</v>
      </c>
      <c r="C81" s="565"/>
      <c r="D81" s="565"/>
      <c r="E81" s="565"/>
      <c r="F81" s="565"/>
      <c r="G81" s="565"/>
      <c r="H81" s="565"/>
      <c r="I81" s="565"/>
      <c r="J81" s="565"/>
      <c r="K81" s="565"/>
      <c r="L81" s="565"/>
      <c r="M81" s="565"/>
      <c r="N81" s="565"/>
      <c r="O81" s="565"/>
      <c r="P81" s="565"/>
      <c r="Q81" s="565"/>
      <c r="R81" s="565"/>
      <c r="S81" s="565"/>
      <c r="V81" s="253"/>
      <c r="AC81" s="254"/>
      <c r="AD81" s="255"/>
      <c r="AE81" s="256"/>
    </row>
    <row r="82" spans="1:42" s="27" customFormat="1" ht="17.100000000000001" customHeight="1" x14ac:dyDescent="0.2">
      <c r="A82" s="3"/>
      <c r="B82" s="369" t="s">
        <v>392</v>
      </c>
      <c r="C82" s="369"/>
      <c r="D82" s="369"/>
      <c r="E82" s="369"/>
      <c r="F82" s="369"/>
      <c r="G82" s="369"/>
      <c r="H82" s="369"/>
      <c r="I82" s="369"/>
      <c r="J82" s="369"/>
      <c r="K82" s="369"/>
      <c r="L82" s="369"/>
      <c r="M82" s="369"/>
      <c r="N82" s="369"/>
      <c r="O82" s="369"/>
      <c r="P82" s="369"/>
      <c r="Q82" s="369"/>
      <c r="R82" s="369"/>
      <c r="S82" s="369"/>
      <c r="AC82" s="257"/>
      <c r="AD82" s="255"/>
      <c r="AE82" s="256"/>
      <c r="AF82" s="258"/>
      <c r="AG82" s="3"/>
    </row>
    <row r="83" spans="1:42" s="27" customFormat="1" ht="17.100000000000001" customHeight="1" x14ac:dyDescent="0.2">
      <c r="A83" s="3"/>
      <c r="B83" s="369" t="s">
        <v>390</v>
      </c>
      <c r="C83" s="369"/>
      <c r="D83" s="369"/>
      <c r="E83" s="369"/>
      <c r="F83" s="369"/>
      <c r="G83" s="369"/>
      <c r="H83" s="369"/>
      <c r="I83" s="369"/>
      <c r="J83" s="369"/>
      <c r="K83" s="369"/>
      <c r="L83" s="369"/>
      <c r="M83" s="369"/>
      <c r="N83" s="369"/>
      <c r="O83" s="369"/>
      <c r="P83" s="369"/>
      <c r="Q83" s="369"/>
      <c r="R83" s="369"/>
      <c r="S83" s="369"/>
      <c r="AC83" s="257"/>
      <c r="AD83" s="255"/>
      <c r="AE83" s="256"/>
      <c r="AF83" s="258"/>
      <c r="AG83" s="3"/>
    </row>
    <row r="84" spans="1:42" s="27" customFormat="1" ht="17.100000000000001" customHeight="1" x14ac:dyDescent="0.2">
      <c r="A84" s="3"/>
      <c r="B84" s="369" t="s">
        <v>434</v>
      </c>
      <c r="C84" s="369"/>
      <c r="D84" s="369"/>
      <c r="E84" s="369"/>
      <c r="F84" s="369"/>
      <c r="G84" s="369"/>
      <c r="H84" s="369"/>
      <c r="I84" s="369"/>
      <c r="J84" s="369"/>
      <c r="K84" s="369"/>
      <c r="L84" s="369"/>
      <c r="M84" s="369"/>
      <c r="N84" s="369"/>
      <c r="O84" s="369"/>
      <c r="P84" s="369"/>
      <c r="Q84" s="369"/>
      <c r="R84" s="369"/>
      <c r="S84" s="369"/>
      <c r="AC84" s="257"/>
      <c r="AD84" s="255"/>
      <c r="AE84" s="256"/>
      <c r="AF84" s="258"/>
      <c r="AG84" s="3"/>
    </row>
    <row r="85" spans="1:42" s="27" customFormat="1" ht="28.2" customHeight="1" x14ac:dyDescent="0.2">
      <c r="B85" s="369" t="s">
        <v>432</v>
      </c>
      <c r="C85" s="369"/>
      <c r="D85" s="369"/>
      <c r="E85" s="369"/>
      <c r="F85" s="369"/>
      <c r="G85" s="369"/>
      <c r="H85" s="369"/>
      <c r="I85" s="369"/>
      <c r="J85" s="369"/>
      <c r="K85" s="369"/>
      <c r="L85" s="369"/>
      <c r="M85" s="369"/>
      <c r="N85" s="369"/>
      <c r="O85" s="369"/>
      <c r="P85" s="369"/>
      <c r="Q85" s="369"/>
      <c r="R85" s="369"/>
      <c r="S85" s="369"/>
    </row>
    <row r="86" spans="1:42" ht="14.25" customHeight="1" x14ac:dyDescent="0.2">
      <c r="A86" s="1"/>
      <c r="B86" s="391" t="s">
        <v>237</v>
      </c>
      <c r="C86" s="391"/>
      <c r="D86" s="391"/>
      <c r="E86" s="391"/>
      <c r="F86" s="391"/>
      <c r="G86" s="391"/>
      <c r="H86" s="391"/>
      <c r="I86" s="216"/>
      <c r="J86" s="216"/>
      <c r="K86" s="216"/>
      <c r="L86" s="216"/>
      <c r="M86" s="216"/>
      <c r="N86" s="216"/>
      <c r="O86" s="216"/>
      <c r="P86" s="216"/>
      <c r="Q86" s="32"/>
      <c r="S86" s="33" t="str">
        <f>S49</f>
        <v>（簡易型）</v>
      </c>
    </row>
    <row r="87" spans="1:42" ht="16.5" customHeight="1" x14ac:dyDescent="0.2">
      <c r="A87" s="1"/>
      <c r="B87" s="392" t="s">
        <v>137</v>
      </c>
      <c r="C87" s="392"/>
      <c r="D87" s="392"/>
      <c r="E87" s="393" t="str">
        <f>'1.基本データ(このシートは削除しないこと！)'!H14&amp;'1.基本データ(このシートは削除しないこと！)'!H15</f>
        <v>第○○-○○○○○-○○○○号 ○○○○○○○○○○○○工事</v>
      </c>
      <c r="F87" s="393"/>
      <c r="G87" s="393"/>
      <c r="H87" s="393"/>
      <c r="I87" s="393"/>
      <c r="J87" s="393"/>
      <c r="K87" s="393"/>
      <c r="L87" s="393"/>
      <c r="M87" s="393"/>
      <c r="N87" s="393"/>
      <c r="O87" s="393"/>
      <c r="P87" s="393"/>
      <c r="Q87" s="393"/>
      <c r="R87" s="393"/>
    </row>
    <row r="88" spans="1:42" ht="18.75" customHeight="1" thickBot="1" x14ac:dyDescent="0.25">
      <c r="A88" s="1"/>
      <c r="B88" s="464" t="s">
        <v>138</v>
      </c>
      <c r="C88" s="464"/>
      <c r="D88" s="464"/>
      <c r="E88" s="259" t="str">
        <f>E51</f>
        <v>○○・△△特定建設工事共同企業体</v>
      </c>
      <c r="F88" s="1"/>
      <c r="G88" s="1"/>
      <c r="H88" s="1"/>
      <c r="I88" s="1"/>
      <c r="J88" s="1"/>
      <c r="K88" s="1"/>
      <c r="L88" s="1"/>
      <c r="M88" s="1"/>
      <c r="N88" s="1"/>
      <c r="O88" s="1"/>
      <c r="P88" s="1"/>
      <c r="Q88" s="1"/>
      <c r="R88" s="1"/>
      <c r="S88" s="1"/>
    </row>
    <row r="89" spans="1:42" ht="22.5" customHeight="1" thickBot="1" x14ac:dyDescent="0.25">
      <c r="A89" s="1"/>
      <c r="B89" s="394" t="s">
        <v>0</v>
      </c>
      <c r="C89" s="394"/>
      <c r="D89" s="394"/>
      <c r="E89" s="34" t="s">
        <v>167</v>
      </c>
      <c r="F89" s="170" t="s">
        <v>2</v>
      </c>
      <c r="G89" s="382" t="s">
        <v>400</v>
      </c>
      <c r="H89" s="383"/>
      <c r="I89" s="383"/>
      <c r="J89" s="383"/>
      <c r="K89" s="383"/>
      <c r="L89" s="383"/>
      <c r="M89" s="383"/>
      <c r="N89" s="383"/>
      <c r="O89" s="383"/>
      <c r="P89" s="383"/>
      <c r="Q89" s="383"/>
      <c r="R89" s="383"/>
      <c r="S89" s="384"/>
      <c r="V89" s="35" t="s">
        <v>134</v>
      </c>
      <c r="AD89" s="37" t="s">
        <v>163</v>
      </c>
      <c r="AK89" s="49"/>
      <c r="AN89" s="1"/>
      <c r="AO89" s="1"/>
      <c r="AP89" s="38" t="s">
        <v>166</v>
      </c>
    </row>
    <row r="90" spans="1:42" ht="25.95" customHeight="1" thickBot="1" x14ac:dyDescent="0.25">
      <c r="A90" s="1"/>
      <c r="B90" s="427" t="s">
        <v>283</v>
      </c>
      <c r="C90" s="459" t="s">
        <v>322</v>
      </c>
      <c r="D90" s="460"/>
      <c r="E90" s="218">
        <f>AD90</f>
        <v>0.5</v>
      </c>
      <c r="F90" s="215" t="str">
        <f>AP90</f>
        <v>-</v>
      </c>
      <c r="G90" s="436" t="s">
        <v>296</v>
      </c>
      <c r="H90" s="562"/>
      <c r="I90" s="368" t="s">
        <v>402</v>
      </c>
      <c r="J90" s="368"/>
      <c r="K90" s="456" t="s">
        <v>284</v>
      </c>
      <c r="L90" s="457"/>
      <c r="M90" s="457"/>
      <c r="N90" s="457"/>
      <c r="O90" s="457"/>
      <c r="P90" s="457"/>
      <c r="Q90" s="457"/>
      <c r="R90" s="457"/>
      <c r="S90" s="458"/>
      <c r="V90" s="2">
        <f>IF(K90=リスト!H9,1,0)</f>
        <v>0</v>
      </c>
      <c r="W90" s="52"/>
      <c r="AD90" s="58">
        <v>0.5</v>
      </c>
      <c r="AE90" s="64"/>
      <c r="AG90" s="42"/>
      <c r="AH90" s="42"/>
      <c r="AP90" s="83" t="str">
        <f>IF(V90=1,AD90,"-")</f>
        <v>-</v>
      </c>
    </row>
    <row r="91" spans="1:42" ht="25.95" customHeight="1" thickBot="1" x14ac:dyDescent="0.25">
      <c r="A91" s="1"/>
      <c r="B91" s="427"/>
      <c r="C91" s="459" t="s">
        <v>323</v>
      </c>
      <c r="D91" s="460"/>
      <c r="E91" s="218">
        <f t="shared" ref="E91:E97" si="2">AD91</f>
        <v>0.5</v>
      </c>
      <c r="F91" s="215" t="str">
        <f t="shared" ref="F91:F97" si="3">AP91</f>
        <v>-</v>
      </c>
      <c r="G91" s="436" t="s">
        <v>297</v>
      </c>
      <c r="H91" s="562"/>
      <c r="I91" s="368" t="s">
        <v>406</v>
      </c>
      <c r="J91" s="368"/>
      <c r="K91" s="365" t="s">
        <v>284</v>
      </c>
      <c r="L91" s="366"/>
      <c r="M91" s="366"/>
      <c r="N91" s="366"/>
      <c r="O91" s="366"/>
      <c r="P91" s="366"/>
      <c r="Q91" s="366"/>
      <c r="R91" s="366"/>
      <c r="S91" s="367"/>
      <c r="V91" s="2">
        <f>IF(K91="有",1,0)</f>
        <v>0</v>
      </c>
      <c r="X91" s="82"/>
      <c r="AD91" s="58">
        <v>0.5</v>
      </c>
      <c r="AE91" s="67"/>
      <c r="AG91" s="42"/>
      <c r="AH91" s="42"/>
      <c r="AP91" s="83" t="str">
        <f t="shared" ref="AP91:AP97" si="4">IF(V91=1,AD91,"-")</f>
        <v>-</v>
      </c>
    </row>
    <row r="92" spans="1:42" ht="25.95" customHeight="1" thickBot="1" x14ac:dyDescent="0.25">
      <c r="A92" s="1"/>
      <c r="B92" s="427"/>
      <c r="C92" s="434" t="s">
        <v>200</v>
      </c>
      <c r="D92" s="435"/>
      <c r="E92" s="218">
        <f t="shared" si="2"/>
        <v>0.5</v>
      </c>
      <c r="F92" s="215" t="str">
        <f t="shared" si="3"/>
        <v>-</v>
      </c>
      <c r="G92" s="436" t="s">
        <v>298</v>
      </c>
      <c r="H92" s="562"/>
      <c r="I92" s="368" t="s">
        <v>406</v>
      </c>
      <c r="J92" s="368"/>
      <c r="K92" s="365" t="s">
        <v>284</v>
      </c>
      <c r="L92" s="366"/>
      <c r="M92" s="366"/>
      <c r="N92" s="366"/>
      <c r="O92" s="366"/>
      <c r="P92" s="366"/>
      <c r="Q92" s="366"/>
      <c r="R92" s="366"/>
      <c r="S92" s="367"/>
      <c r="V92" s="2">
        <f>IF(K92="有",1,0)</f>
        <v>0</v>
      </c>
      <c r="X92" s="82"/>
      <c r="AD92" s="58">
        <v>0.5</v>
      </c>
      <c r="AE92" s="67"/>
      <c r="AG92" s="42"/>
      <c r="AH92" s="42"/>
      <c r="AP92" s="83" t="str">
        <f t="shared" si="4"/>
        <v>-</v>
      </c>
    </row>
    <row r="93" spans="1:42" ht="25.95" customHeight="1" thickBot="1" x14ac:dyDescent="0.25">
      <c r="A93" s="1"/>
      <c r="B93" s="427"/>
      <c r="C93" s="560" t="s">
        <v>201</v>
      </c>
      <c r="D93" s="561"/>
      <c r="E93" s="217">
        <f>AD93</f>
        <v>1.5</v>
      </c>
      <c r="F93" s="212" t="str">
        <f>AP93</f>
        <v>-</v>
      </c>
      <c r="G93" s="436" t="s">
        <v>455</v>
      </c>
      <c r="H93" s="562"/>
      <c r="I93" s="368" t="s">
        <v>407</v>
      </c>
      <c r="J93" s="368"/>
      <c r="K93" s="456" t="s">
        <v>284</v>
      </c>
      <c r="L93" s="457"/>
      <c r="M93" s="457"/>
      <c r="N93" s="457"/>
      <c r="O93" s="457"/>
      <c r="P93" s="457"/>
      <c r="Q93" s="457"/>
      <c r="R93" s="457"/>
      <c r="S93" s="458"/>
      <c r="V93" s="61">
        <f>IF(OR(K93=リスト!I8),1,0)</f>
        <v>0</v>
      </c>
      <c r="X93" s="82"/>
      <c r="AD93" s="62">
        <v>1.5</v>
      </c>
      <c r="AE93" s="67"/>
      <c r="AG93" s="42"/>
      <c r="AH93" s="42"/>
      <c r="AM93" s="89"/>
      <c r="AP93" s="83" t="str">
        <f>IF(V93=1,AD93,"-")</f>
        <v>-</v>
      </c>
    </row>
    <row r="94" spans="1:42" ht="25.95" customHeight="1" thickBot="1" x14ac:dyDescent="0.25">
      <c r="A94" s="1"/>
      <c r="B94" s="427"/>
      <c r="C94" s="436" t="s">
        <v>263</v>
      </c>
      <c r="D94" s="437"/>
      <c r="E94" s="218">
        <f t="shared" si="2"/>
        <v>0.5</v>
      </c>
      <c r="F94" s="215" t="str">
        <f t="shared" si="3"/>
        <v>-</v>
      </c>
      <c r="G94" s="436" t="s">
        <v>299</v>
      </c>
      <c r="H94" s="562"/>
      <c r="I94" s="368" t="s">
        <v>406</v>
      </c>
      <c r="J94" s="368"/>
      <c r="K94" s="365" t="s">
        <v>284</v>
      </c>
      <c r="L94" s="366"/>
      <c r="M94" s="366"/>
      <c r="N94" s="366"/>
      <c r="O94" s="366"/>
      <c r="P94" s="366"/>
      <c r="Q94" s="366"/>
      <c r="R94" s="366"/>
      <c r="S94" s="367"/>
      <c r="V94" s="2">
        <f>IF(K94="有",1,0)</f>
        <v>0</v>
      </c>
      <c r="X94" s="82"/>
      <c r="AD94" s="58">
        <v>0.5</v>
      </c>
      <c r="AE94" s="67"/>
      <c r="AG94" s="42"/>
      <c r="AH94" s="42"/>
      <c r="AM94" s="89" t="s">
        <v>163</v>
      </c>
      <c r="AP94" s="83" t="str">
        <f t="shared" si="4"/>
        <v>-</v>
      </c>
    </row>
    <row r="95" spans="1:42" ht="25.95" customHeight="1" thickBot="1" x14ac:dyDescent="0.25">
      <c r="A95" s="1"/>
      <c r="B95" s="427"/>
      <c r="C95" s="436" t="s">
        <v>300</v>
      </c>
      <c r="D95" s="437"/>
      <c r="E95" s="218">
        <f t="shared" si="2"/>
        <v>0.5</v>
      </c>
      <c r="F95" s="215" t="str">
        <f t="shared" si="3"/>
        <v>-</v>
      </c>
      <c r="G95" s="436" t="s">
        <v>299</v>
      </c>
      <c r="H95" s="562"/>
      <c r="I95" s="368" t="s">
        <v>408</v>
      </c>
      <c r="J95" s="368"/>
      <c r="K95" s="365" t="s">
        <v>284</v>
      </c>
      <c r="L95" s="366"/>
      <c r="M95" s="366"/>
      <c r="N95" s="366"/>
      <c r="O95" s="366"/>
      <c r="P95" s="366"/>
      <c r="Q95" s="366"/>
      <c r="R95" s="366"/>
      <c r="S95" s="367"/>
      <c r="V95" s="2">
        <f>IF(K95="有",1,0)</f>
        <v>0</v>
      </c>
      <c r="X95" s="82"/>
      <c r="AD95" s="58">
        <v>0.5</v>
      </c>
      <c r="AE95" s="67"/>
      <c r="AG95" s="42"/>
      <c r="AH95" s="42"/>
      <c r="AJ95" s="2">
        <v>0</v>
      </c>
      <c r="AK95" s="114"/>
      <c r="AL95" s="114"/>
      <c r="AM95" s="44">
        <v>0</v>
      </c>
      <c r="AP95" s="83" t="str">
        <f t="shared" si="4"/>
        <v>-</v>
      </c>
    </row>
    <row r="96" spans="1:42" ht="26.1" customHeight="1" thickBot="1" x14ac:dyDescent="0.25">
      <c r="A96" s="1"/>
      <c r="B96" s="427"/>
      <c r="C96" s="434" t="s">
        <v>202</v>
      </c>
      <c r="D96" s="435"/>
      <c r="E96" s="218">
        <f t="shared" si="2"/>
        <v>0.5</v>
      </c>
      <c r="F96" s="215" t="str">
        <f t="shared" si="3"/>
        <v>-</v>
      </c>
      <c r="G96" s="436" t="s">
        <v>454</v>
      </c>
      <c r="H96" s="562"/>
      <c r="I96" s="368" t="s">
        <v>406</v>
      </c>
      <c r="J96" s="368"/>
      <c r="K96" s="365" t="s">
        <v>284</v>
      </c>
      <c r="L96" s="366"/>
      <c r="M96" s="366"/>
      <c r="N96" s="366"/>
      <c r="O96" s="366"/>
      <c r="P96" s="366"/>
      <c r="Q96" s="366"/>
      <c r="R96" s="366"/>
      <c r="S96" s="367"/>
      <c r="V96" s="2">
        <f>IF(K96="有",1,0)</f>
        <v>0</v>
      </c>
      <c r="W96" s="40">
        <f>IF(K98="",0,1)</f>
        <v>0</v>
      </c>
      <c r="X96" t="s">
        <v>428</v>
      </c>
      <c r="AA96" t="s">
        <v>430</v>
      </c>
      <c r="AC96" t="s">
        <v>431</v>
      </c>
      <c r="AD96" s="58">
        <v>0.5</v>
      </c>
      <c r="AE96" s="67"/>
      <c r="AG96" s="42"/>
      <c r="AH96" s="42"/>
      <c r="AJ96" s="2">
        <v>42</v>
      </c>
      <c r="AK96" s="2" t="s">
        <v>143</v>
      </c>
      <c r="AL96" s="2" t="s">
        <v>168</v>
      </c>
      <c r="AM96" s="44">
        <v>5</v>
      </c>
      <c r="AP96" s="83" t="str">
        <f t="shared" si="4"/>
        <v>-</v>
      </c>
    </row>
    <row r="97" spans="1:51" ht="26.1" customHeight="1" thickBot="1" x14ac:dyDescent="0.25">
      <c r="A97" s="1"/>
      <c r="B97" s="427"/>
      <c r="C97" s="454" t="s">
        <v>324</v>
      </c>
      <c r="D97" s="455"/>
      <c r="E97" s="169">
        <f t="shared" si="2"/>
        <v>0.5</v>
      </c>
      <c r="F97" s="183" t="str">
        <f t="shared" si="3"/>
        <v>-</v>
      </c>
      <c r="G97" s="454" t="s">
        <v>454</v>
      </c>
      <c r="H97" s="501"/>
      <c r="I97" s="368" t="s">
        <v>406</v>
      </c>
      <c r="J97" s="368"/>
      <c r="K97" s="365" t="s">
        <v>284</v>
      </c>
      <c r="L97" s="366"/>
      <c r="M97" s="366"/>
      <c r="N97" s="366"/>
      <c r="O97" s="366"/>
      <c r="P97" s="366"/>
      <c r="Q97" s="366"/>
      <c r="R97" s="366"/>
      <c r="S97" s="367"/>
      <c r="V97" s="2">
        <f>IF(K97="有",1,0)</f>
        <v>0</v>
      </c>
      <c r="W97" s="2">
        <f>IF(OR(R98=リスト!O4),1,0)</f>
        <v>0</v>
      </c>
      <c r="X97" s="2">
        <f>W96</f>
        <v>0</v>
      </c>
      <c r="Y97" s="40">
        <f>SUM(W97:X97)</f>
        <v>0</v>
      </c>
      <c r="Z97" s="41" t="s">
        <v>429</v>
      </c>
      <c r="AA97" s="2">
        <v>0.5</v>
      </c>
      <c r="AB97" s="250">
        <f>W97*AA97</f>
        <v>0</v>
      </c>
      <c r="AC97" s="214" t="str">
        <f>IF(W96=1,MAX(AB97:AB98),"-")</f>
        <v>-</v>
      </c>
      <c r="AD97" s="251">
        <v>0.5</v>
      </c>
      <c r="AE97" s="214" t="s">
        <v>146</v>
      </c>
      <c r="AG97" s="42"/>
      <c r="AH97" s="42"/>
      <c r="AJ97" s="2">
        <v>41</v>
      </c>
      <c r="AK97" s="2" t="s">
        <v>143</v>
      </c>
      <c r="AL97" s="2" t="s">
        <v>25</v>
      </c>
      <c r="AM97" s="44">
        <v>4</v>
      </c>
      <c r="AP97" s="83" t="str">
        <f t="shared" si="4"/>
        <v>-</v>
      </c>
      <c r="AS97" s="1" t="s">
        <v>225</v>
      </c>
    </row>
    <row r="98" spans="1:51" ht="26.1" customHeight="1" thickBot="1" x14ac:dyDescent="0.25">
      <c r="A98" s="1"/>
      <c r="B98" s="427"/>
      <c r="C98" s="454" t="s">
        <v>309</v>
      </c>
      <c r="D98" s="455"/>
      <c r="E98" s="168">
        <f>AA97</f>
        <v>0.5</v>
      </c>
      <c r="F98" s="171" t="str">
        <f>AP98</f>
        <v>-</v>
      </c>
      <c r="G98" s="454" t="s">
        <v>463</v>
      </c>
      <c r="H98" s="501"/>
      <c r="I98" s="563" t="s">
        <v>420</v>
      </c>
      <c r="J98" s="564"/>
      <c r="K98" s="599"/>
      <c r="L98" s="600"/>
      <c r="M98" s="600"/>
      <c r="N98" s="600"/>
      <c r="O98" s="600"/>
      <c r="P98" s="600"/>
      <c r="Q98" s="601"/>
      <c r="R98" s="597"/>
      <c r="S98" s="598"/>
      <c r="W98" s="2">
        <f>IF(OR(R98=リスト!O5),1,0)</f>
        <v>0</v>
      </c>
      <c r="X98" s="2">
        <f>W96</f>
        <v>0</v>
      </c>
      <c r="Y98" s="40">
        <f>SUM(W98:X98)</f>
        <v>0</v>
      </c>
      <c r="Z98" s="41" t="s">
        <v>331</v>
      </c>
      <c r="AA98" s="58">
        <v>0.25</v>
      </c>
      <c r="AB98" s="250">
        <f>W98*AA98</f>
        <v>0</v>
      </c>
      <c r="AC98" s="214" t="str">
        <f>IF(W96=1,MAX(AB97:AB98),"-")</f>
        <v>-</v>
      </c>
      <c r="AG98" s="42"/>
      <c r="AH98" s="42"/>
      <c r="AJ98" s="2">
        <v>40</v>
      </c>
      <c r="AK98" s="2" t="s">
        <v>143</v>
      </c>
      <c r="AL98" s="2" t="s">
        <v>4</v>
      </c>
      <c r="AM98" s="44">
        <v>3</v>
      </c>
      <c r="AP98" s="83" t="str">
        <f>IF(W96=1,MAX(AB97:AC98),"-")</f>
        <v>-</v>
      </c>
      <c r="AS98" s="1" t="s">
        <v>225</v>
      </c>
    </row>
    <row r="99" spans="1:51" ht="25.95" customHeight="1" thickBot="1" x14ac:dyDescent="0.25">
      <c r="A99" s="1"/>
      <c r="B99" s="419"/>
      <c r="C99" s="555" t="s">
        <v>325</v>
      </c>
      <c r="D99" s="555"/>
      <c r="E99" s="219">
        <f t="shared" ref="E99" si="5">AD99</f>
        <v>2.5</v>
      </c>
      <c r="F99" s="213" t="str">
        <f>AP99</f>
        <v>-</v>
      </c>
      <c r="G99" s="430" t="s">
        <v>436</v>
      </c>
      <c r="H99" s="559"/>
      <c r="I99" s="368" t="s">
        <v>404</v>
      </c>
      <c r="J99" s="368"/>
      <c r="K99" s="556" t="s">
        <v>284</v>
      </c>
      <c r="L99" s="557"/>
      <c r="M99" s="557"/>
      <c r="N99" s="557"/>
      <c r="O99" s="557"/>
      <c r="P99" s="557"/>
      <c r="Q99" s="557"/>
      <c r="R99" s="557"/>
      <c r="S99" s="558"/>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214</v>
      </c>
      <c r="AB99" s="57"/>
      <c r="AC99" s="85" t="s">
        <v>211</v>
      </c>
      <c r="AD99" s="86">
        <v>2.5</v>
      </c>
      <c r="AE99" s="87">
        <f>V99*AD99</f>
        <v>0</v>
      </c>
      <c r="AF99" s="553" t="str">
        <f>IF('1.基本データ(このシートは削除しないこと！)'!H16=1,MAX(AE99:AE100),"-")</f>
        <v>-</v>
      </c>
      <c r="AJ99" s="2">
        <v>32</v>
      </c>
      <c r="AK99" s="2" t="s">
        <v>144</v>
      </c>
      <c r="AL99" s="2" t="s">
        <v>168</v>
      </c>
      <c r="AM99" s="44">
        <v>3</v>
      </c>
      <c r="AP99" s="88" t="str">
        <f>IF(Y99=1,MAX(AF99:AF101),"-")</f>
        <v>-</v>
      </c>
      <c r="AS99" s="89" t="s">
        <v>243</v>
      </c>
      <c r="AT99" s="89" t="s">
        <v>244</v>
      </c>
      <c r="AY99" s="49"/>
    </row>
    <row r="100" spans="1:51" ht="25.2" customHeight="1" thickBot="1" x14ac:dyDescent="0.25">
      <c r="A100" s="1"/>
      <c r="B100" s="419"/>
      <c r="C100" s="428" t="s">
        <v>326</v>
      </c>
      <c r="D100" s="428"/>
      <c r="E100" s="417">
        <f>AM96</f>
        <v>5</v>
      </c>
      <c r="F100" s="429" t="str">
        <f>IF(OR(K101="-",K102="-"),"-",AQ107)</f>
        <v>-</v>
      </c>
      <c r="G100" s="410" t="s">
        <v>242</v>
      </c>
      <c r="H100" s="530"/>
      <c r="I100" s="530"/>
      <c r="J100" s="530"/>
      <c r="K100" s="530"/>
      <c r="L100" s="530"/>
      <c r="M100" s="530"/>
      <c r="N100" s="530"/>
      <c r="O100" s="530"/>
      <c r="P100" s="530"/>
      <c r="Q100" s="411"/>
      <c r="R100" s="438" t="s">
        <v>389</v>
      </c>
      <c r="S100" s="439"/>
      <c r="AC100" s="90" t="s">
        <v>212</v>
      </c>
      <c r="AD100" s="91">
        <v>1.5</v>
      </c>
      <c r="AE100" s="92">
        <f>W99*AD100</f>
        <v>0</v>
      </c>
      <c r="AF100" s="554"/>
      <c r="AJ100" s="2">
        <v>31</v>
      </c>
      <c r="AK100" s="2" t="s">
        <v>144</v>
      </c>
      <c r="AL100" s="2" t="s">
        <v>25</v>
      </c>
      <c r="AM100" s="44">
        <v>2</v>
      </c>
      <c r="AO100" s="93" t="s">
        <v>249</v>
      </c>
      <c r="AS100" s="94">
        <f>IF($W103="同一市町村",1,10)</f>
        <v>10</v>
      </c>
      <c r="AT100" s="94">
        <f>IF($W106="同一市町村",1,10)</f>
        <v>10</v>
      </c>
      <c r="AY100" s="49"/>
    </row>
    <row r="101" spans="1:51" ht="25.2" customHeight="1" thickBot="1" x14ac:dyDescent="0.25">
      <c r="A101" s="1"/>
      <c r="B101" s="419"/>
      <c r="C101" s="428"/>
      <c r="D101" s="428"/>
      <c r="E101" s="417"/>
      <c r="F101" s="429"/>
      <c r="G101" s="387" t="s">
        <v>302</v>
      </c>
      <c r="H101" s="532"/>
      <c r="I101" s="368" t="s">
        <v>404</v>
      </c>
      <c r="J101" s="368"/>
      <c r="K101" s="521" t="s">
        <v>284</v>
      </c>
      <c r="L101" s="522"/>
      <c r="M101" s="522"/>
      <c r="N101" s="522"/>
      <c r="O101" s="522"/>
      <c r="P101" s="522"/>
      <c r="Q101" s="523"/>
      <c r="R101" s="438"/>
      <c r="S101" s="439"/>
      <c r="V101" s="8" t="s">
        <v>241</v>
      </c>
      <c r="W101" s="95" t="str">
        <f>VLOOKUP(K101,リスト2!$C$3:$E$65,2,FALSE)</f>
        <v>-</v>
      </c>
      <c r="X101" s="96"/>
      <c r="AC101" s="97" t="s">
        <v>213</v>
      </c>
      <c r="AD101" s="98">
        <v>2.5</v>
      </c>
      <c r="AE101" s="99">
        <f>X99*AD101</f>
        <v>0</v>
      </c>
      <c r="AF101" s="100">
        <f>IF('1.基本データ(このシートは削除しないこと！)'!H16&gt;1,AE101,"-")</f>
        <v>0</v>
      </c>
      <c r="AJ101" s="2">
        <v>30</v>
      </c>
      <c r="AK101" s="2" t="s">
        <v>144</v>
      </c>
      <c r="AL101" s="2" t="s">
        <v>4</v>
      </c>
      <c r="AM101" s="44">
        <v>1.5</v>
      </c>
      <c r="AO101" s="101" t="e">
        <f>VLOOKUP(AC103,AJ100:AL107,3,FALSE)</f>
        <v>#N/A</v>
      </c>
      <c r="AS101" s="94">
        <f>IF($W103="同一土木",2,10)</f>
        <v>10</v>
      </c>
      <c r="AT101" s="94">
        <f>IF($W106="同一土木",2,10)</f>
        <v>10</v>
      </c>
      <c r="AY101" s="49"/>
    </row>
    <row r="102" spans="1:51" ht="25.2" customHeight="1" thickBot="1" x14ac:dyDescent="0.25">
      <c r="A102" s="1"/>
      <c r="B102" s="419"/>
      <c r="C102" s="428"/>
      <c r="D102" s="428"/>
      <c r="E102" s="417"/>
      <c r="F102" s="429"/>
      <c r="G102" s="385" t="s">
        <v>303</v>
      </c>
      <c r="H102" s="531"/>
      <c r="I102" s="368" t="s">
        <v>404</v>
      </c>
      <c r="J102" s="368"/>
      <c r="K102" s="524" t="s">
        <v>284</v>
      </c>
      <c r="L102" s="525"/>
      <c r="M102" s="525"/>
      <c r="N102" s="525"/>
      <c r="O102" s="525"/>
      <c r="P102" s="525"/>
      <c r="Q102" s="526"/>
      <c r="R102" s="438"/>
      <c r="S102" s="439"/>
      <c r="T102" s="102"/>
      <c r="V102" s="8" t="s">
        <v>233</v>
      </c>
      <c r="W102" s="95" t="str">
        <f>VLOOKUP(K101,リスト2!$C$3:$E$65,3,FALSE)</f>
        <v>-</v>
      </c>
      <c r="X102" s="96"/>
      <c r="Z102" s="206" t="s">
        <v>258</v>
      </c>
      <c r="AA102" s="206"/>
      <c r="AB102" s="206"/>
      <c r="AC102" s="206"/>
      <c r="AE102" s="206" t="s">
        <v>259</v>
      </c>
      <c r="AF102" s="206"/>
      <c r="AG102" s="206"/>
      <c r="AJ102" s="2">
        <v>22</v>
      </c>
      <c r="AK102" s="2" t="s">
        <v>145</v>
      </c>
      <c r="AL102" s="2" t="s">
        <v>168</v>
      </c>
      <c r="AM102" s="44">
        <v>2</v>
      </c>
      <c r="AS102" s="94">
        <f>IF($W103="同一建設",3,10)</f>
        <v>10</v>
      </c>
      <c r="AT102" s="94">
        <f>IF($W106="同一建設",3,10)</f>
        <v>10</v>
      </c>
      <c r="AY102" s="49"/>
    </row>
    <row r="103" spans="1:51" ht="25.35" customHeight="1" thickBot="1" x14ac:dyDescent="0.25">
      <c r="A103" s="1"/>
      <c r="B103" s="419"/>
      <c r="C103" s="428"/>
      <c r="D103" s="428"/>
      <c r="E103" s="417"/>
      <c r="F103" s="429"/>
      <c r="G103" s="410" t="s">
        <v>261</v>
      </c>
      <c r="H103" s="530"/>
      <c r="I103" s="530"/>
      <c r="J103" s="530"/>
      <c r="K103" s="530"/>
      <c r="L103" s="530"/>
      <c r="M103" s="530"/>
      <c r="N103" s="530"/>
      <c r="O103" s="530"/>
      <c r="P103" s="530"/>
      <c r="Q103" s="411"/>
      <c r="R103" s="438"/>
      <c r="S103" s="439"/>
      <c r="T103" s="102"/>
      <c r="V103" s="8" t="s">
        <v>236</v>
      </c>
      <c r="W103" s="9" t="str">
        <f>IF(K101="-","-",VLOOKUP($AC$103,AJ96:AM107,2,FALSE))</f>
        <v>-</v>
      </c>
      <c r="X103" s="9" t="str">
        <f>IF(K102="本店","本店",IF(K102="準本店","準本店","支店等"))</f>
        <v>支店等</v>
      </c>
      <c r="Z103" s="103" t="s">
        <v>148</v>
      </c>
      <c r="AA103" s="104" t="s">
        <v>385</v>
      </c>
      <c r="AB103" s="104" t="s">
        <v>386</v>
      </c>
      <c r="AC103" s="105">
        <f>IF(K101="-",0,MAX(AC104:AC107))</f>
        <v>0</v>
      </c>
      <c r="AE103" s="103" t="s">
        <v>148</v>
      </c>
      <c r="AF103" s="104" t="s">
        <v>386</v>
      </c>
      <c r="AG103" s="106">
        <f>IF(K104="-",0,MAX(AG104:AG107))</f>
        <v>0</v>
      </c>
      <c r="AH103" s="40">
        <f>AC103-AG103</f>
        <v>0</v>
      </c>
      <c r="AJ103" s="2">
        <v>21</v>
      </c>
      <c r="AK103" s="2" t="s">
        <v>145</v>
      </c>
      <c r="AL103" s="2" t="s">
        <v>25</v>
      </c>
      <c r="AM103" s="44">
        <v>1</v>
      </c>
      <c r="AO103" s="110" t="s">
        <v>146</v>
      </c>
      <c r="AP103" s="70"/>
      <c r="AS103" s="107">
        <f>IF($W103="県内",4,10)</f>
        <v>10</v>
      </c>
      <c r="AT103" s="107">
        <f>IF($W106="県内",4,10)</f>
        <v>10</v>
      </c>
      <c r="AY103" s="49"/>
    </row>
    <row r="104" spans="1:51" ht="25.35" customHeight="1" thickTop="1" thickBot="1" x14ac:dyDescent="0.25">
      <c r="A104" s="1"/>
      <c r="B104" s="419"/>
      <c r="C104" s="428"/>
      <c r="D104" s="428"/>
      <c r="E104" s="417"/>
      <c r="F104" s="429"/>
      <c r="G104" s="387" t="s">
        <v>304</v>
      </c>
      <c r="H104" s="532"/>
      <c r="I104" s="368" t="s">
        <v>404</v>
      </c>
      <c r="J104" s="368"/>
      <c r="K104" s="521" t="s">
        <v>284</v>
      </c>
      <c r="L104" s="522"/>
      <c r="M104" s="522"/>
      <c r="N104" s="522"/>
      <c r="O104" s="522"/>
      <c r="P104" s="522"/>
      <c r="Q104" s="523"/>
      <c r="R104" s="438"/>
      <c r="S104" s="439"/>
      <c r="T104" s="102"/>
      <c r="U104" s="102"/>
      <c r="V104" s="8" t="s">
        <v>241</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151</v>
      </c>
      <c r="AE104" s="84">
        <f>IF(OR(K104='1.基本データ(このシートは削除しないこと！)'!D19,K104='1.基本データ(このシートは削除しないこと！)'!E19),40,0)</f>
        <v>40</v>
      </c>
      <c r="AF104" s="84">
        <f>IF(K105="準本店",1,0)</f>
        <v>0</v>
      </c>
      <c r="AG104" s="84">
        <f>SUM(AE104:AF104)</f>
        <v>40</v>
      </c>
      <c r="AH104" t="s">
        <v>151</v>
      </c>
      <c r="AJ104" s="2">
        <v>20</v>
      </c>
      <c r="AK104" s="2" t="s">
        <v>145</v>
      </c>
      <c r="AL104" s="2" t="s">
        <v>4</v>
      </c>
      <c r="AM104" s="44">
        <v>0.5</v>
      </c>
      <c r="AO104" s="112" t="s">
        <v>149</v>
      </c>
      <c r="AP104" s="112" t="s">
        <v>147</v>
      </c>
      <c r="AS104" s="108">
        <f>MIN(AS100:AS103)</f>
        <v>10</v>
      </c>
      <c r="AT104" s="108">
        <f>MIN(AT100:AT103)</f>
        <v>10</v>
      </c>
      <c r="AV104" s="109"/>
      <c r="AW104" s="109"/>
      <c r="AY104" s="49"/>
    </row>
    <row r="105" spans="1:51" ht="25.35" customHeight="1" thickBot="1" x14ac:dyDescent="0.25">
      <c r="A105" s="1"/>
      <c r="B105" s="419"/>
      <c r="C105" s="428"/>
      <c r="D105" s="428"/>
      <c r="E105" s="417"/>
      <c r="F105" s="429"/>
      <c r="G105" s="473" t="s">
        <v>305</v>
      </c>
      <c r="H105" s="514"/>
      <c r="I105" s="368" t="s">
        <v>404</v>
      </c>
      <c r="J105" s="368"/>
      <c r="K105" s="524" t="s">
        <v>284</v>
      </c>
      <c r="L105" s="525"/>
      <c r="M105" s="525"/>
      <c r="N105" s="525"/>
      <c r="O105" s="525"/>
      <c r="P105" s="525"/>
      <c r="Q105" s="526"/>
      <c r="R105" s="438"/>
      <c r="S105" s="439"/>
      <c r="T105" s="102"/>
      <c r="U105" s="102"/>
      <c r="V105" s="8" t="s">
        <v>233</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152</v>
      </c>
      <c r="AE105" s="2">
        <f>IF(OR(W104='1.基本データ(このシートは削除しないこと！)'!D20,W104='1.基本データ(このシートは削除しないこと！)'!E20),30,0)</f>
        <v>30</v>
      </c>
      <c r="AF105" s="2">
        <f>IF(K105="準本店",1,0)</f>
        <v>0</v>
      </c>
      <c r="AG105" s="84">
        <f>SUM(AE105:AF105)</f>
        <v>30</v>
      </c>
      <c r="AH105" t="s">
        <v>152</v>
      </c>
      <c r="AJ105" s="2">
        <v>12</v>
      </c>
      <c r="AK105" s="2" t="s">
        <v>5</v>
      </c>
      <c r="AL105" s="2" t="s">
        <v>168</v>
      </c>
      <c r="AM105" s="44">
        <v>2</v>
      </c>
      <c r="AN105" s="228" t="s">
        <v>341</v>
      </c>
      <c r="AO105" s="44" t="e">
        <f>IF(AND('1.基本データ(このシートは削除しないこと！)'!$H$17=2,AC103&gt;=30),VLOOKUP(AC103,AJ95:AM101,4,0),0)</f>
        <v>#N/A</v>
      </c>
      <c r="AP105" s="44" t="e">
        <f>IF(AND('1.基本データ(このシートは削除しないこと！)'!$H$17=2,AG103&gt;=30),VLOOKUP(AG103,AJ95:AM101,4,0),0)</f>
        <v>#N/A</v>
      </c>
      <c r="AQ105" s="1"/>
      <c r="AT105" s="94">
        <f>MIN(AS104:AT104)</f>
        <v>10</v>
      </c>
      <c r="AU105" s="1" t="s">
        <v>226</v>
      </c>
      <c r="AY105" s="49"/>
    </row>
    <row r="106" spans="1:51" ht="15" customHeight="1" thickBot="1" x14ac:dyDescent="0.25">
      <c r="A106" s="1"/>
      <c r="B106" s="419"/>
      <c r="C106" s="428"/>
      <c r="D106" s="428"/>
      <c r="E106" s="417"/>
      <c r="F106" s="429"/>
      <c r="G106" s="533" t="s">
        <v>306</v>
      </c>
      <c r="H106" s="534"/>
      <c r="I106" s="162"/>
      <c r="J106" s="161"/>
      <c r="K106" s="527" t="str">
        <f>IF(K101="-","-",W107)</f>
        <v>-</v>
      </c>
      <c r="L106" s="528"/>
      <c r="M106" s="528"/>
      <c r="N106" s="528"/>
      <c r="O106" s="528"/>
      <c r="P106" s="528"/>
      <c r="Q106" s="529"/>
      <c r="R106" s="438"/>
      <c r="S106" s="439"/>
      <c r="T106" s="111"/>
      <c r="U106" s="111"/>
      <c r="V106" s="10" t="s">
        <v>236</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153</v>
      </c>
      <c r="AE106" s="2">
        <f>IF(OR(W105='1.基本データ(このシートは削除しないこと！)'!D21,W105='1.基本データ(このシートは削除しないこと！)'!E21),20,0)</f>
        <v>20</v>
      </c>
      <c r="AF106" s="2">
        <f>IF(K105="準本店",1,0)</f>
        <v>0</v>
      </c>
      <c r="AG106" s="84">
        <f>SUM(AE106:AF106)</f>
        <v>20</v>
      </c>
      <c r="AH106" t="s">
        <v>153</v>
      </c>
      <c r="AJ106" s="2">
        <v>11</v>
      </c>
      <c r="AK106" s="2" t="s">
        <v>5</v>
      </c>
      <c r="AL106" s="2" t="s">
        <v>25</v>
      </c>
      <c r="AM106" s="44">
        <v>1</v>
      </c>
      <c r="AN106" s="229" t="s">
        <v>342</v>
      </c>
      <c r="AO106" s="44" t="e">
        <f>IF(AND('1.基本データ(このシートは削除しないこと！)'!$H$17=3,AC103&gt;=20),VLOOKUP(AC103,AJ95:AM104,4,0),0)</f>
        <v>#N/A</v>
      </c>
      <c r="AP106" s="44" t="e">
        <f>IF(AND('1.基本データ(このシートは削除しないこと！)'!$H$17=3,AG103&gt;=20),VLOOKUP(AG103,AJ95:AM104,4,0),0)</f>
        <v>#N/A</v>
      </c>
      <c r="AQ106" s="207" t="s">
        <v>166</v>
      </c>
      <c r="AT106" s="40" t="e">
        <f>IF(AT105&lt;='1.基本データ(このシートは削除しないこと！)'!H17,1,0)</f>
        <v>#N/A</v>
      </c>
      <c r="AU106" t="s">
        <v>247</v>
      </c>
      <c r="AY106" s="49"/>
    </row>
    <row r="107" spans="1:51" ht="15" customHeight="1" thickBot="1" x14ac:dyDescent="0.25">
      <c r="A107" s="1"/>
      <c r="B107" s="419"/>
      <c r="C107" s="428"/>
      <c r="D107" s="428"/>
      <c r="E107" s="417"/>
      <c r="F107" s="429"/>
      <c r="G107" s="249"/>
      <c r="H107" s="163"/>
      <c r="I107" s="163"/>
      <c r="J107" s="164" t="s">
        <v>409</v>
      </c>
      <c r="K107" s="461" t="str">
        <f>IF(K102="-","-",X107)</f>
        <v>-</v>
      </c>
      <c r="L107" s="462"/>
      <c r="M107" s="462"/>
      <c r="N107" s="462"/>
      <c r="O107" s="462"/>
      <c r="P107" s="462"/>
      <c r="Q107" s="463"/>
      <c r="R107" s="440"/>
      <c r="S107" s="441"/>
      <c r="T107" s="111"/>
      <c r="U107" s="111"/>
      <c r="V107" s="12" t="s">
        <v>260</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150</v>
      </c>
      <c r="AE107" s="2">
        <f>IF(OR(W105='1.基本データ(このシートは削除しないこと！)'!D21,W105='1.基本データ(このシートは削除しないこと！)'!E21),0,10)</f>
        <v>0</v>
      </c>
      <c r="AF107" s="2">
        <f>IF(K105="準本店",1,0)</f>
        <v>0</v>
      </c>
      <c r="AG107" s="2">
        <f>SUM(AE107:AF107)</f>
        <v>0</v>
      </c>
      <c r="AH107" t="s">
        <v>150</v>
      </c>
      <c r="AJ107" s="2">
        <v>10</v>
      </c>
      <c r="AK107" s="2" t="s">
        <v>5</v>
      </c>
      <c r="AL107" s="2" t="s">
        <v>4</v>
      </c>
      <c r="AM107" s="44">
        <v>0.5</v>
      </c>
      <c r="AN107" s="229" t="s">
        <v>343</v>
      </c>
      <c r="AO107" s="44" t="e">
        <f>IF(AND('1.基本データ(このシートは削除しないこと！)'!$H$17=4,AC103&gt;=10),VLOOKUP(AC103,AJ95:AM107,4,0),0)</f>
        <v>#N/A</v>
      </c>
      <c r="AP107" s="44" t="e">
        <f>IF(AND('1.基本データ(このシートは削除しないこと！)'!$H$17=4,AG103&gt;=10),VLOOKUP(AG103,AJ95:AM107,4,0),0)</f>
        <v>#N/A</v>
      </c>
      <c r="AQ107" s="208" t="e">
        <f>MAX(AO105:AP107)</f>
        <v>#N/A</v>
      </c>
      <c r="AR107" s="109"/>
      <c r="AY107" s="49"/>
    </row>
    <row r="108" spans="1:51" ht="20.100000000000001" customHeight="1" thickBot="1" x14ac:dyDescent="0.25">
      <c r="A108" s="1"/>
      <c r="B108" s="503" t="e">
        <f>IF(OR(F100="-",AS109=1),"","※入札参加者の所在地が地域要件ごとの評価対象エリア外のため、「ボランティア活動」と「選択項目」は評価対象外です。")</f>
        <v>#N/A</v>
      </c>
      <c r="C108" s="503"/>
      <c r="D108" s="503"/>
      <c r="E108" s="503"/>
      <c r="F108" s="503"/>
      <c r="G108" s="503"/>
      <c r="H108" s="503"/>
      <c r="I108" s="504"/>
      <c r="J108" s="504"/>
      <c r="K108" s="504"/>
      <c r="L108" s="504"/>
      <c r="M108" s="504"/>
      <c r="N108" s="504"/>
      <c r="O108" s="504"/>
      <c r="P108" s="504"/>
      <c r="Q108" s="504"/>
      <c r="R108" s="504"/>
      <c r="S108" s="503"/>
      <c r="T108" s="111"/>
      <c r="U108" s="111"/>
      <c r="Y108" s="111"/>
      <c r="Z108" s="115"/>
      <c r="AA108" s="116"/>
      <c r="AB108" s="117"/>
      <c r="AC108" s="117"/>
      <c r="AD108" s="118"/>
      <c r="AK108" s="49"/>
      <c r="AS108" t="s">
        <v>248</v>
      </c>
    </row>
    <row r="109" spans="1:51" ht="28.2" customHeight="1" thickBot="1" x14ac:dyDescent="0.25">
      <c r="A109" s="1"/>
      <c r="B109" s="394" t="s">
        <v>0</v>
      </c>
      <c r="C109" s="394"/>
      <c r="D109" s="394"/>
      <c r="E109" s="34" t="s">
        <v>167</v>
      </c>
      <c r="F109" s="170" t="s">
        <v>2</v>
      </c>
      <c r="G109" s="382" t="s">
        <v>399</v>
      </c>
      <c r="H109" s="383"/>
      <c r="I109" s="383"/>
      <c r="J109" s="383"/>
      <c r="K109" s="383"/>
      <c r="L109" s="383"/>
      <c r="M109" s="383"/>
      <c r="N109" s="383"/>
      <c r="O109" s="383"/>
      <c r="P109" s="383"/>
      <c r="Q109" s="384"/>
      <c r="R109" s="13" t="s">
        <v>264</v>
      </c>
      <c r="S109" s="119" t="s">
        <v>433</v>
      </c>
      <c r="T109" s="111"/>
      <c r="U109" s="111"/>
      <c r="V109" s="120" t="s">
        <v>160</v>
      </c>
      <c r="W109" s="120" t="s">
        <v>218</v>
      </c>
      <c r="X109" s="120" t="s">
        <v>246</v>
      </c>
      <c r="Y109" s="121" t="s">
        <v>154</v>
      </c>
      <c r="Z109" s="122" t="s">
        <v>156</v>
      </c>
      <c r="AA109" s="123" t="s">
        <v>155</v>
      </c>
      <c r="AB109" s="122" t="s">
        <v>157</v>
      </c>
      <c r="AC109" s="123" t="s">
        <v>158</v>
      </c>
      <c r="AD109" s="124" t="s">
        <v>159</v>
      </c>
      <c r="AE109" s="124" t="s">
        <v>245</v>
      </c>
      <c r="AF109" s="230" t="s">
        <v>345</v>
      </c>
      <c r="AG109" s="125" t="s">
        <v>161</v>
      </c>
      <c r="AH109" s="125" t="s">
        <v>162</v>
      </c>
      <c r="AI109" s="125" t="s">
        <v>232</v>
      </c>
      <c r="AK109" s="125" t="s">
        <v>164</v>
      </c>
      <c r="AL109" s="125" t="s">
        <v>165</v>
      </c>
      <c r="AM109" s="125" t="s">
        <v>232</v>
      </c>
      <c r="AN109" s="231" t="s">
        <v>341</v>
      </c>
      <c r="AO109" s="231" t="s">
        <v>344</v>
      </c>
      <c r="AP109" s="232" t="s">
        <v>343</v>
      </c>
      <c r="AQ109" s="207" t="s">
        <v>166</v>
      </c>
      <c r="AS109" s="40" t="e">
        <f>IF(AS104&lt;'1.基本データ(このシートは削除しないこと！)'!H17+1,1,0)</f>
        <v>#N/A</v>
      </c>
      <c r="AT109" t="s">
        <v>227</v>
      </c>
    </row>
    <row r="110" spans="1:51" ht="28.2" customHeight="1" thickBot="1" x14ac:dyDescent="0.25">
      <c r="A110" s="1"/>
      <c r="B110" s="419" t="s">
        <v>215</v>
      </c>
      <c r="C110" s="430" t="s">
        <v>327</v>
      </c>
      <c r="D110" s="431"/>
      <c r="E110" s="218">
        <f>AG110</f>
        <v>2</v>
      </c>
      <c r="F110" s="215" t="e">
        <f>IF(OR(AS$109=0,V110=0),"-",AQ110)</f>
        <v>#N/A</v>
      </c>
      <c r="G110" s="473" t="s">
        <v>393</v>
      </c>
      <c r="H110" s="514"/>
      <c r="I110" s="514"/>
      <c r="J110" s="514"/>
      <c r="K110" s="514"/>
      <c r="L110" s="514"/>
      <c r="M110" s="514"/>
      <c r="N110" s="514"/>
      <c r="O110" s="514"/>
      <c r="P110" s="514"/>
      <c r="Q110" s="474"/>
      <c r="R110" s="211" t="s">
        <v>284</v>
      </c>
      <c r="S110" s="197" t="s">
        <v>284</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3" t="str">
        <f>VLOOKUP(S110,リスト2!$C$3:$F$65,4,FALSE)</f>
        <v>-</v>
      </c>
      <c r="AG110" s="131">
        <v>2</v>
      </c>
      <c r="AH110" s="131">
        <v>2</v>
      </c>
      <c r="AI110" s="131">
        <v>2</v>
      </c>
      <c r="AK110" s="132">
        <f>IF($V110*$X110*$AD110=3,AG110,0)</f>
        <v>0</v>
      </c>
      <c r="AL110" s="132">
        <f>IF($V110*$X110*$AD110=2,AH110,0)</f>
        <v>0</v>
      </c>
      <c r="AM110" s="132">
        <f>IF(OR($V110*$X110*$AD110=1,$V110*$X110*AE110=4),AI110,0)</f>
        <v>0</v>
      </c>
      <c r="AN110" s="58" t="e">
        <f>IF('1.基本データ(このシートは削除しないこと！)'!$H$17=2,MAX(AK110:AL110),0)</f>
        <v>#N/A</v>
      </c>
      <c r="AO110" s="58" t="e">
        <f>IF('1.基本データ(このシートは削除しないこと！)'!$H$17=3,MAX(AK110:AM110),0)</f>
        <v>#N/A</v>
      </c>
      <c r="AP110" s="234" t="e">
        <f>IF(AND('1.基本データ(このシートは削除しないこと！)'!$H$17=4,AF110="県内"),V110*AI110,0)</f>
        <v>#N/A</v>
      </c>
      <c r="AQ110" s="209" t="str">
        <f>IF(V110=1,MAX(AN110:AP110),"-")</f>
        <v>-</v>
      </c>
    </row>
    <row r="111" spans="1:51" ht="28.2" customHeight="1" thickBot="1" x14ac:dyDescent="0.25">
      <c r="A111" s="1"/>
      <c r="B111" s="419"/>
      <c r="C111" s="432" t="s">
        <v>328</v>
      </c>
      <c r="D111" s="433"/>
      <c r="E111" s="217">
        <f>AG111</f>
        <v>1</v>
      </c>
      <c r="F111" s="212" t="str">
        <f>IF((V111=0),"-",AQ111)</f>
        <v>-</v>
      </c>
      <c r="G111" s="402" t="s">
        <v>394</v>
      </c>
      <c r="H111" s="512"/>
      <c r="I111" s="512"/>
      <c r="J111" s="512"/>
      <c r="K111" s="512"/>
      <c r="L111" s="512"/>
      <c r="M111" s="512"/>
      <c r="N111" s="512"/>
      <c r="O111" s="512"/>
      <c r="P111" s="512"/>
      <c r="Q111" s="513"/>
      <c r="R111" s="211" t="s">
        <v>284</v>
      </c>
      <c r="S111" s="197" t="s">
        <v>284</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3"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t="e">
        <f>IF('1.基本データ(このシートは削除しないこと！)'!$H$17=2,MAX(AK111:AL111),0)</f>
        <v>#N/A</v>
      </c>
      <c r="AO111" s="58" t="e">
        <f>IF('1.基本データ(このシートは削除しないこと！)'!$H$17=3,MAX(AK111:AM111),0)</f>
        <v>#N/A</v>
      </c>
      <c r="AP111" s="234" t="e">
        <f>IF(AND('1.基本データ(このシートは削除しないこと！)'!$H$17=4,AF111="県内"),V111*AG111,0)</f>
        <v>#N/A</v>
      </c>
      <c r="AQ111" s="209" t="str">
        <f>IF(V111=1,MAX(AN111:AP111),"-")</f>
        <v>-</v>
      </c>
    </row>
    <row r="112" spans="1:51" ht="66" customHeight="1" thickBot="1" x14ac:dyDescent="0.25">
      <c r="A112" s="1"/>
      <c r="B112" s="427"/>
      <c r="C112" s="498" t="s">
        <v>266</v>
      </c>
      <c r="D112" s="509" t="s">
        <v>469</v>
      </c>
      <c r="E112" s="508">
        <v>3.5</v>
      </c>
      <c r="F112" s="505" t="e">
        <f>IF(OR(AS$109=0,AQ112=0,SUM(V112:V114)=0),"-",AT112)</f>
        <v>#N/A</v>
      </c>
      <c r="G112" s="519" t="s">
        <v>470</v>
      </c>
      <c r="H112" s="540" t="s">
        <v>307</v>
      </c>
      <c r="I112" s="541"/>
      <c r="J112" s="541"/>
      <c r="K112" s="541"/>
      <c r="L112" s="541"/>
      <c r="M112" s="541"/>
      <c r="N112" s="541"/>
      <c r="O112" s="541"/>
      <c r="P112" s="541"/>
      <c r="Q112" s="542"/>
      <c r="R112" s="211" t="s">
        <v>284</v>
      </c>
      <c r="S112" s="547" t="s">
        <v>284</v>
      </c>
      <c r="T112" s="133"/>
      <c r="U112" s="133"/>
      <c r="V112" s="61">
        <f t="shared" si="6"/>
        <v>0</v>
      </c>
      <c r="W112" s="550">
        <f>IF(SUM(V112:V114)&gt;0,1,0)</f>
        <v>0</v>
      </c>
      <c r="X112" s="61">
        <f t="shared" si="8"/>
        <v>0</v>
      </c>
      <c r="Y112" s="148">
        <f>IF(OR(S112='1.基本データ(このシートは削除しないこと！)'!$D$19,'2.様式第1号、第6～8号(簡易型)'!S112='1.基本データ(このシートは削除しないこと！)'!$E$19),1,0)</f>
        <v>1</v>
      </c>
      <c r="Z112" s="280" t="str">
        <f>VLOOKUP(S112,リスト2!$C$3:$E$65,2,FALSE)</f>
        <v>-</v>
      </c>
      <c r="AA112" s="281">
        <f>IF(OR(Z112='1.基本データ(このシートは削除しないこと！)'!$D$20,Z112='1.基本データ(このシートは削除しないこと！)'!$E$20),1,0)</f>
        <v>1</v>
      </c>
      <c r="AB112" s="280" t="str">
        <f>VLOOKUP(S112,リスト2!$C$3:$E$65,3,FALSE)</f>
        <v>-</v>
      </c>
      <c r="AC112" s="281">
        <f>IF(OR(AB112='1.基本データ(このシートは削除しないこと！)'!$D$21,AB112='1.基本データ(このシートは削除しないこと！)'!$E$21),1,0)</f>
        <v>1</v>
      </c>
      <c r="AD112" s="282">
        <f>IF(Y112+AA112+AC112=3,2,Y112+AA112+AC112)</f>
        <v>2</v>
      </c>
      <c r="AE112" s="130">
        <f>IF(AND('1.基本データ(このシートは削除しないこと！)'!$D$17="全国",AB112&lt;&gt;"-"),4,0)</f>
        <v>0</v>
      </c>
      <c r="AF112" s="233" t="str">
        <f>VLOOKUP(S112,リスト2!$C$3:$F$65,4,FALSE)</f>
        <v>-</v>
      </c>
      <c r="AG112" s="283"/>
      <c r="AH112" s="142">
        <v>3</v>
      </c>
      <c r="AI112" s="142">
        <v>3</v>
      </c>
      <c r="AK112" s="284"/>
      <c r="AL112" s="151">
        <f t="shared" si="9"/>
        <v>0</v>
      </c>
      <c r="AM112" s="151">
        <f t="shared" ref="AM112:AM121" si="10">IF(OR($V112*$X112*$AD112=1,$V112*$X112*AE112=4),AI112,0)</f>
        <v>0</v>
      </c>
      <c r="AN112" s="235" t="e">
        <f>IF('1.基本データ(このシートは削除しないこと！)'!$H$17=2,MAX(AK112:AL112),0)</f>
        <v>#N/A</v>
      </c>
      <c r="AO112" s="235" t="e">
        <f>IF('1.基本データ(このシートは削除しないこと！)'!$H$17=3,MAX(AK112:AM112),0)</f>
        <v>#N/A</v>
      </c>
      <c r="AP112" s="236" t="e">
        <f>IF(AND('1.基本データ(このシートは削除しないこと！)'!$H$17=4,AF112="県内"),V112*AI112,0)</f>
        <v>#N/A</v>
      </c>
      <c r="AQ112" s="535" t="e">
        <f>IF(W112&lt;=2,MAX(AN112:AP114),"-")</f>
        <v>#N/A</v>
      </c>
      <c r="AR112" s="338" t="e">
        <f>AQ112</f>
        <v>#N/A</v>
      </c>
      <c r="AS112" s="339" t="e">
        <f>AQ112+0.5</f>
        <v>#N/A</v>
      </c>
      <c r="AT112" s="40" t="str">
        <f>IF(AT114=1,MAX(AR112:AS114),IF(AT114=2,MIN(AR112:AS114),"-"))</f>
        <v>-</v>
      </c>
    </row>
    <row r="113" spans="1:47" ht="36.6" customHeight="1" thickBot="1" x14ac:dyDescent="0.25">
      <c r="A113" s="1"/>
      <c r="B113" s="427"/>
      <c r="C113" s="499"/>
      <c r="D113" s="510"/>
      <c r="E113" s="452"/>
      <c r="F113" s="506"/>
      <c r="G113" s="520"/>
      <c r="H113" s="454" t="s">
        <v>265</v>
      </c>
      <c r="I113" s="501"/>
      <c r="J113" s="501"/>
      <c r="K113" s="501"/>
      <c r="L113" s="501"/>
      <c r="M113" s="501"/>
      <c r="N113" s="501"/>
      <c r="O113" s="501"/>
      <c r="P113" s="501"/>
      <c r="Q113" s="502"/>
      <c r="R113" s="211" t="s">
        <v>284</v>
      </c>
      <c r="S113" s="548"/>
      <c r="T113" s="133"/>
      <c r="U113" s="133"/>
      <c r="V113" s="294">
        <f t="shared" ref="V113:V114" si="11">IF(R113="有",1,0)</f>
        <v>0</v>
      </c>
      <c r="W113" s="552"/>
      <c r="X113" s="294">
        <f t="shared" ref="X113:AF113" si="12">X112</f>
        <v>0</v>
      </c>
      <c r="Y113" s="295">
        <f t="shared" si="12"/>
        <v>1</v>
      </c>
      <c r="Z113" s="296" t="str">
        <f t="shared" si="12"/>
        <v>-</v>
      </c>
      <c r="AA113" s="297">
        <f t="shared" si="12"/>
        <v>1</v>
      </c>
      <c r="AB113" s="296" t="str">
        <f t="shared" si="12"/>
        <v>-</v>
      </c>
      <c r="AC113" s="297">
        <f t="shared" si="12"/>
        <v>1</v>
      </c>
      <c r="AD113" s="298">
        <f t="shared" si="12"/>
        <v>2</v>
      </c>
      <c r="AE113" s="299">
        <f t="shared" si="12"/>
        <v>0</v>
      </c>
      <c r="AF113" s="233" t="str">
        <f t="shared" si="12"/>
        <v>-</v>
      </c>
      <c r="AG113" s="300"/>
      <c r="AH113" s="301">
        <v>2.5</v>
      </c>
      <c r="AI113" s="301">
        <v>2.5</v>
      </c>
      <c r="AK113" s="302"/>
      <c r="AL113" s="303">
        <f t="shared" ref="AL113:AL114" si="13">IF($V113*$X113*$AD113=2,AH113,0)</f>
        <v>0</v>
      </c>
      <c r="AM113" s="303">
        <f t="shared" ref="AM113:AM114" si="14">IF(OR($V113*$X113*$AD113=1,$V113*$X113*AE113=4),AI113,0)</f>
        <v>0</v>
      </c>
      <c r="AN113" s="237" t="e">
        <f>IF('1.基本データ(このシートは削除しないこと！)'!$H$17=2,MAX(AK113:AL113),0)</f>
        <v>#N/A</v>
      </c>
      <c r="AO113" s="237" t="e">
        <f>IF('1.基本データ(このシートは削除しないこと！)'!$H$17=3,MAX(AK113:AM113),0)</f>
        <v>#N/A</v>
      </c>
      <c r="AP113" s="238" t="e">
        <f>IF(AND('1.基本データ(このシートは削除しないこと！)'!$H$17=4,AF113="県内"),V113*AI113,0)</f>
        <v>#N/A</v>
      </c>
      <c r="AQ113" s="536"/>
      <c r="AR113" s="338"/>
      <c r="AS113" s="340"/>
      <c r="AT113" s="312"/>
    </row>
    <row r="114" spans="1:47" ht="52.2" customHeight="1" thickBot="1" x14ac:dyDescent="0.25">
      <c r="A114" s="1"/>
      <c r="B114" s="427"/>
      <c r="C114" s="499"/>
      <c r="D114" s="511"/>
      <c r="E114" s="451"/>
      <c r="F114" s="507"/>
      <c r="G114" s="315" t="s">
        <v>284</v>
      </c>
      <c r="H114" s="501" t="s">
        <v>308</v>
      </c>
      <c r="I114" s="501"/>
      <c r="J114" s="501"/>
      <c r="K114" s="501"/>
      <c r="L114" s="501"/>
      <c r="M114" s="501"/>
      <c r="N114" s="501"/>
      <c r="O114" s="501"/>
      <c r="P114" s="501"/>
      <c r="Q114" s="502"/>
      <c r="R114" s="211" t="s">
        <v>284</v>
      </c>
      <c r="S114" s="549"/>
      <c r="T114" s="133"/>
      <c r="U114" s="133"/>
      <c r="V114" s="285">
        <f t="shared" si="11"/>
        <v>0</v>
      </c>
      <c r="W114" s="551"/>
      <c r="X114" s="84">
        <f t="shared" ref="X114:AF114" si="15">X112</f>
        <v>0</v>
      </c>
      <c r="Y114" s="286">
        <f t="shared" si="15"/>
        <v>1</v>
      </c>
      <c r="Z114" s="287" t="str">
        <f t="shared" si="15"/>
        <v>-</v>
      </c>
      <c r="AA114" s="288">
        <f t="shared" si="15"/>
        <v>1</v>
      </c>
      <c r="AB114" s="287" t="str">
        <f t="shared" si="15"/>
        <v>-</v>
      </c>
      <c r="AC114" s="288">
        <f t="shared" si="15"/>
        <v>1</v>
      </c>
      <c r="AD114" s="289">
        <f t="shared" si="15"/>
        <v>2</v>
      </c>
      <c r="AE114" s="129">
        <f t="shared" si="15"/>
        <v>0</v>
      </c>
      <c r="AF114" s="233" t="str">
        <f t="shared" si="15"/>
        <v>-</v>
      </c>
      <c r="AG114" s="290"/>
      <c r="AH114" s="291">
        <v>1.5</v>
      </c>
      <c r="AI114" s="291">
        <v>1.5</v>
      </c>
      <c r="AK114" s="292"/>
      <c r="AL114" s="293">
        <f t="shared" si="13"/>
        <v>0</v>
      </c>
      <c r="AM114" s="293">
        <f t="shared" si="14"/>
        <v>0</v>
      </c>
      <c r="AN114" s="239" t="e">
        <f>IF('1.基本データ(このシートは削除しないこと！)'!$H$17=2,MAX(AK114:AL114),0)</f>
        <v>#N/A</v>
      </c>
      <c r="AO114" s="239" t="e">
        <f>IF('1.基本データ(このシートは削除しないこと！)'!$H$17=3,MAX(AK114:AM114),0)</f>
        <v>#N/A</v>
      </c>
      <c r="AP114" s="240" t="e">
        <f>IF(AND('1.基本データ(このシートは削除しないこと！)'!$H$17=4,AF114="県内"),V114*AI114,0)</f>
        <v>#N/A</v>
      </c>
      <c r="AQ114" s="537"/>
      <c r="AR114" s="338"/>
      <c r="AS114" s="340"/>
      <c r="AT114" s="311">
        <f>IF(G114=リスト!Q4,1,IF(G114=リスト!Q5,2,0))</f>
        <v>0</v>
      </c>
      <c r="AU114" s="70">
        <f>AT114</f>
        <v>0</v>
      </c>
    </row>
    <row r="115" spans="1:47" ht="53.4" customHeight="1" thickBot="1" x14ac:dyDescent="0.25">
      <c r="A115" s="1"/>
      <c r="B115" s="427"/>
      <c r="C115" s="499"/>
      <c r="D115" s="445" t="s">
        <v>329</v>
      </c>
      <c r="E115" s="450">
        <f>AG115</f>
        <v>2.5</v>
      </c>
      <c r="F115" s="496" t="e">
        <f>IF(OR(AS$109=0,V115+V116=0),"-",AQ115)</f>
        <v>#N/A</v>
      </c>
      <c r="G115" s="516" t="s">
        <v>464</v>
      </c>
      <c r="H115" s="517"/>
      <c r="I115" s="517"/>
      <c r="J115" s="517"/>
      <c r="K115" s="517"/>
      <c r="L115" s="517"/>
      <c r="M115" s="517"/>
      <c r="N115" s="517"/>
      <c r="O115" s="517"/>
      <c r="P115" s="517"/>
      <c r="Q115" s="518"/>
      <c r="R115" s="211" t="s">
        <v>284</v>
      </c>
      <c r="S115" s="547" t="s">
        <v>284</v>
      </c>
      <c r="T115" s="139"/>
      <c r="U115" s="139"/>
      <c r="V115" s="134">
        <f t="shared" si="6"/>
        <v>0</v>
      </c>
      <c r="W115" s="550">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3" t="str">
        <f>VLOOKUP(S115,リスト2!$C$3:$F$65,4,FALSE)</f>
        <v>-</v>
      </c>
      <c r="AG115" s="142">
        <v>2.5</v>
      </c>
      <c r="AH115" s="142">
        <v>2.5</v>
      </c>
      <c r="AI115" s="142">
        <v>2.5</v>
      </c>
      <c r="AK115" s="138">
        <f>IF($V115*$X115*$AD115=3,AG115,0)</f>
        <v>0</v>
      </c>
      <c r="AL115" s="138">
        <f t="shared" si="9"/>
        <v>0</v>
      </c>
      <c r="AM115" s="138">
        <f>IF(OR($V115*$X115*$AD115=1,$V115*$X115*AE115=4),AI115,0)</f>
        <v>0</v>
      </c>
      <c r="AN115" s="235" t="e">
        <f>IF('1.基本データ(このシートは削除しないこと！)'!$H$17=2,MAX(AK115:AL115),0)</f>
        <v>#N/A</v>
      </c>
      <c r="AO115" s="235" t="e">
        <f>IF('1.基本データ(このシートは削除しないこと！)'!$H$17=3,MAX(AK115:AM115),0)</f>
        <v>#N/A</v>
      </c>
      <c r="AP115" s="236" t="e">
        <f>IF(AND('1.基本データ(このシートは削除しないこと！)'!$H$17=4,AF115="県内"),V115*AI115,0)</f>
        <v>#N/A</v>
      </c>
      <c r="AQ115" s="543" t="e">
        <f>IF(W115&lt;=2,MAX(AN115:AP116),"-")</f>
        <v>#N/A</v>
      </c>
    </row>
    <row r="116" spans="1:47" ht="30" customHeight="1" thickBot="1" x14ac:dyDescent="0.25">
      <c r="A116" s="1"/>
      <c r="B116" s="427"/>
      <c r="C116" s="499"/>
      <c r="D116" s="446"/>
      <c r="E116" s="451"/>
      <c r="F116" s="497"/>
      <c r="G116" s="454" t="s">
        <v>395</v>
      </c>
      <c r="H116" s="501"/>
      <c r="I116" s="501"/>
      <c r="J116" s="501"/>
      <c r="K116" s="501"/>
      <c r="L116" s="501"/>
      <c r="M116" s="501"/>
      <c r="N116" s="501"/>
      <c r="O116" s="501"/>
      <c r="P116" s="501"/>
      <c r="Q116" s="502"/>
      <c r="R116" s="211" t="s">
        <v>284</v>
      </c>
      <c r="S116" s="549"/>
      <c r="T116" s="133"/>
      <c r="U116" s="133"/>
      <c r="V116" s="84">
        <f t="shared" si="6"/>
        <v>0</v>
      </c>
      <c r="W116" s="551"/>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3" t="str">
        <f t="shared" si="16"/>
        <v>-</v>
      </c>
      <c r="AG116" s="145">
        <v>1.5</v>
      </c>
      <c r="AH116" s="145">
        <v>1.5</v>
      </c>
      <c r="AI116" s="145">
        <v>1.5</v>
      </c>
      <c r="AK116" s="146">
        <f t="shared" ref="AK116:AK121" si="17">IF($V116*$X116*$AD116=3,AG116,0)</f>
        <v>0</v>
      </c>
      <c r="AL116" s="146">
        <f t="shared" si="9"/>
        <v>0</v>
      </c>
      <c r="AM116" s="146">
        <f t="shared" si="10"/>
        <v>0</v>
      </c>
      <c r="AN116" s="239" t="e">
        <f>IF('1.基本データ(このシートは削除しないこと！)'!$H$17=2,MAX(AK116:AL116),0)</f>
        <v>#N/A</v>
      </c>
      <c r="AO116" s="239" t="e">
        <f>IF('1.基本データ(このシートは削除しないこと！)'!$H$17=3,MAX(AK116:AM116),0)</f>
        <v>#N/A</v>
      </c>
      <c r="AP116" s="240" t="e">
        <f>IF(AND('1.基本データ(このシートは削除しないこと！)'!$H$17=4,AF116="県内"),V116*AI116,0)</f>
        <v>#N/A</v>
      </c>
      <c r="AQ116" s="544"/>
    </row>
    <row r="117" spans="1:47" ht="30" customHeight="1" thickBot="1" x14ac:dyDescent="0.25">
      <c r="A117" s="1"/>
      <c r="B117" s="427"/>
      <c r="C117" s="499"/>
      <c r="D117" s="445" t="s">
        <v>330</v>
      </c>
      <c r="E117" s="450">
        <f>AG117</f>
        <v>2.5</v>
      </c>
      <c r="F117" s="496" t="e">
        <f>IF(OR(AS$109=0,V117+V118=0),"-",AQ117)</f>
        <v>#N/A</v>
      </c>
      <c r="G117" s="454" t="s">
        <v>396</v>
      </c>
      <c r="H117" s="501"/>
      <c r="I117" s="501"/>
      <c r="J117" s="501"/>
      <c r="K117" s="501"/>
      <c r="L117" s="501"/>
      <c r="M117" s="501"/>
      <c r="N117" s="501"/>
      <c r="O117" s="501"/>
      <c r="P117" s="501"/>
      <c r="Q117" s="502"/>
      <c r="R117" s="211" t="s">
        <v>284</v>
      </c>
      <c r="S117" s="547" t="s">
        <v>284</v>
      </c>
      <c r="T117" s="133"/>
      <c r="U117" s="133"/>
      <c r="V117" s="134">
        <f t="shared" si="6"/>
        <v>0</v>
      </c>
      <c r="W117" s="550">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3" t="str">
        <f>VLOOKUP(S117,リスト2!$C$3:$F$65,4,FALSE)</f>
        <v>-</v>
      </c>
      <c r="AG117" s="142">
        <v>2.5</v>
      </c>
      <c r="AH117" s="142">
        <v>2.5</v>
      </c>
      <c r="AI117" s="142">
        <v>2.5</v>
      </c>
      <c r="AK117" s="138">
        <f t="shared" si="17"/>
        <v>0</v>
      </c>
      <c r="AL117" s="138">
        <f t="shared" si="9"/>
        <v>0</v>
      </c>
      <c r="AM117" s="138">
        <f t="shared" si="10"/>
        <v>0</v>
      </c>
      <c r="AN117" s="58" t="e">
        <f>IF('1.基本データ(このシートは削除しないこと！)'!$H$17=2,MAX(AK117:AL117),0)</f>
        <v>#N/A</v>
      </c>
      <c r="AO117" s="58" t="e">
        <f>IF('1.基本データ(このシートは削除しないこと！)'!$H$17=3,MAX(AK117:AM117),0)</f>
        <v>#N/A</v>
      </c>
      <c r="AP117" s="234" t="e">
        <f>IF(AND('1.基本データ(このシートは削除しないこと！)'!$H$17=4,AF117="県内"),V117*AI117,0)</f>
        <v>#N/A</v>
      </c>
      <c r="AQ117" s="543" t="e">
        <f>IF(W117&lt;=2,MAX(AN117:AP118),"-")</f>
        <v>#N/A</v>
      </c>
    </row>
    <row r="118" spans="1:47" ht="30" customHeight="1" thickBot="1" x14ac:dyDescent="0.25">
      <c r="A118" s="1"/>
      <c r="B118" s="427"/>
      <c r="C118" s="499"/>
      <c r="D118" s="446"/>
      <c r="E118" s="451"/>
      <c r="F118" s="497"/>
      <c r="G118" s="515" t="s">
        <v>397</v>
      </c>
      <c r="H118" s="501"/>
      <c r="I118" s="501"/>
      <c r="J118" s="501"/>
      <c r="K118" s="501"/>
      <c r="L118" s="501"/>
      <c r="M118" s="501"/>
      <c r="N118" s="501"/>
      <c r="O118" s="501"/>
      <c r="P118" s="501"/>
      <c r="Q118" s="502"/>
      <c r="R118" s="211" t="s">
        <v>284</v>
      </c>
      <c r="S118" s="549"/>
      <c r="T118" s="147"/>
      <c r="U118" s="147"/>
      <c r="V118" s="84">
        <f t="shared" si="6"/>
        <v>0</v>
      </c>
      <c r="W118" s="551"/>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3" t="str">
        <f t="shared" si="19"/>
        <v>-</v>
      </c>
      <c r="AG118" s="145">
        <v>1.5</v>
      </c>
      <c r="AH118" s="145">
        <v>1.5</v>
      </c>
      <c r="AI118" s="145">
        <v>1.5</v>
      </c>
      <c r="AK118" s="146">
        <f t="shared" si="17"/>
        <v>0</v>
      </c>
      <c r="AL118" s="146">
        <f t="shared" si="9"/>
        <v>0</v>
      </c>
      <c r="AM118" s="146">
        <f t="shared" si="10"/>
        <v>0</v>
      </c>
      <c r="AN118" s="58" t="e">
        <f>IF('1.基本データ(このシートは削除しないこと！)'!$H$17=2,MAX(AK118:AL118),0)</f>
        <v>#N/A</v>
      </c>
      <c r="AO118" s="58" t="e">
        <f>IF('1.基本データ(このシートは削除しないこと！)'!$H$17=3,MAX(AK118:AM118),0)</f>
        <v>#N/A</v>
      </c>
      <c r="AP118" s="234" t="e">
        <f>IF(AND('1.基本データ(このシートは削除しないこと！)'!$H$17=4,AF118="県内"),V118*AI118,0)</f>
        <v>#N/A</v>
      </c>
      <c r="AQ118" s="544"/>
    </row>
    <row r="119" spans="1:47" ht="71.400000000000006" customHeight="1" thickBot="1" x14ac:dyDescent="0.25">
      <c r="A119" s="1"/>
      <c r="B119" s="427"/>
      <c r="C119" s="499"/>
      <c r="D119" s="447" t="s">
        <v>471</v>
      </c>
      <c r="E119" s="450">
        <v>3.5</v>
      </c>
      <c r="F119" s="442" t="e">
        <f>IF(OR('1.基本データ(このシートは削除しないこと！)'!H16=10,AS$109=0,AQ119=0,SUM(V119:V121)=0),"-",AT119)</f>
        <v>#N/A</v>
      </c>
      <c r="G119" s="595" t="s">
        <v>456</v>
      </c>
      <c r="H119" s="501" t="s">
        <v>465</v>
      </c>
      <c r="I119" s="501"/>
      <c r="J119" s="501"/>
      <c r="K119" s="501"/>
      <c r="L119" s="501"/>
      <c r="M119" s="501"/>
      <c r="N119" s="501"/>
      <c r="O119" s="501"/>
      <c r="P119" s="501"/>
      <c r="Q119" s="502"/>
      <c r="R119" s="211" t="s">
        <v>284</v>
      </c>
      <c r="S119" s="547" t="s">
        <v>284</v>
      </c>
      <c r="T119" s="133"/>
      <c r="U119" s="133"/>
      <c r="V119" s="61">
        <f t="shared" si="6"/>
        <v>0</v>
      </c>
      <c r="W119" s="550">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3"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t="e">
        <f>IF('1.基本データ(このシートは削除しないこと！)'!$H$17=2,MAX(AK119:AL119),0)</f>
        <v>#N/A</v>
      </c>
      <c r="AO119" s="62" t="e">
        <f>IF('1.基本データ(このシートは削除しないこと！)'!$H$17=3,MAX(AK119:AM119),0)</f>
        <v>#N/A</v>
      </c>
      <c r="AP119" s="304" t="e">
        <f>IF(AND('1.基本データ(このシートは削除しないこと！)'!$H$17=4,AF119="県内"),V119*AI119,0)</f>
        <v>#N/A</v>
      </c>
      <c r="AQ119" s="543" t="e">
        <f>IF(W119&lt;=2,MAX(AN119:AP121),"-")</f>
        <v>#N/A</v>
      </c>
      <c r="AR119" s="581" t="e">
        <f>AQ119</f>
        <v>#N/A</v>
      </c>
      <c r="AS119" s="584" t="e">
        <f>AQ119+0.5</f>
        <v>#N/A</v>
      </c>
      <c r="AT119" s="40" t="str">
        <f>IF(AT121=1,MAX(AR119:AS121),IF(AT121=2,MIN(AR119:AS121),"-"))</f>
        <v>-</v>
      </c>
    </row>
    <row r="120" spans="1:47" ht="45.6" customHeight="1" thickBot="1" x14ac:dyDescent="0.25">
      <c r="A120" s="1"/>
      <c r="B120" s="427"/>
      <c r="C120" s="499"/>
      <c r="D120" s="448"/>
      <c r="E120" s="452"/>
      <c r="F120" s="443"/>
      <c r="G120" s="596"/>
      <c r="H120" s="501" t="s">
        <v>453</v>
      </c>
      <c r="I120" s="501"/>
      <c r="J120" s="501"/>
      <c r="K120" s="501"/>
      <c r="L120" s="501"/>
      <c r="M120" s="501"/>
      <c r="N120" s="501"/>
      <c r="O120" s="501"/>
      <c r="P120" s="501"/>
      <c r="Q120" s="502"/>
      <c r="R120" s="211" t="s">
        <v>284</v>
      </c>
      <c r="S120" s="548"/>
      <c r="T120" s="133"/>
      <c r="U120" s="133"/>
      <c r="V120" s="294">
        <f>IF(R120="有",1,0)</f>
        <v>0</v>
      </c>
      <c r="W120" s="552"/>
      <c r="X120" s="294">
        <f t="shared" ref="X120:AF120" si="20">X119</f>
        <v>0</v>
      </c>
      <c r="Y120" s="295">
        <f t="shared" si="20"/>
        <v>1</v>
      </c>
      <c r="Z120" s="296" t="str">
        <f t="shared" si="20"/>
        <v>-</v>
      </c>
      <c r="AA120" s="297">
        <f t="shared" si="20"/>
        <v>1</v>
      </c>
      <c r="AB120" s="296" t="str">
        <f t="shared" si="20"/>
        <v>-</v>
      </c>
      <c r="AC120" s="297">
        <f t="shared" si="20"/>
        <v>1</v>
      </c>
      <c r="AD120" s="299">
        <f t="shared" si="20"/>
        <v>3</v>
      </c>
      <c r="AE120" s="299">
        <f t="shared" si="20"/>
        <v>0</v>
      </c>
      <c r="AF120" s="233" t="str">
        <f t="shared" si="20"/>
        <v>-</v>
      </c>
      <c r="AG120" s="301">
        <v>2</v>
      </c>
      <c r="AH120" s="301">
        <v>2</v>
      </c>
      <c r="AI120" s="301">
        <v>2</v>
      </c>
      <c r="AK120" s="303">
        <f>IF($V120*$X120*$AD120=3,AG120,0)</f>
        <v>0</v>
      </c>
      <c r="AL120" s="307">
        <f t="shared" si="9"/>
        <v>0</v>
      </c>
      <c r="AM120" s="307">
        <f t="shared" si="10"/>
        <v>0</v>
      </c>
      <c r="AN120" s="237" t="e">
        <f>IF('1.基本データ(このシートは削除しないこと！)'!$H$17=2,MAX(AK120:AL120),0)</f>
        <v>#N/A</v>
      </c>
      <c r="AO120" s="237" t="e">
        <f>IF('1.基本データ(このシートは削除しないこと！)'!$H$17=3,MAX(AK120:AM120),0)</f>
        <v>#N/A</v>
      </c>
      <c r="AP120" s="238" t="e">
        <f>IF(AND('1.基本データ(このシートは削除しないこと！)'!$H$17=4,AF120="県内"),V120*AI120,0)</f>
        <v>#N/A</v>
      </c>
      <c r="AQ120" s="545"/>
      <c r="AR120" s="582"/>
      <c r="AS120" s="585"/>
      <c r="AT120" s="312"/>
    </row>
    <row r="121" spans="1:47" ht="42" customHeight="1" thickBot="1" x14ac:dyDescent="0.25">
      <c r="A121" s="1"/>
      <c r="B121" s="427"/>
      <c r="C121" s="500"/>
      <c r="D121" s="449"/>
      <c r="E121" s="453"/>
      <c r="F121" s="444"/>
      <c r="G121" s="316" t="s">
        <v>284</v>
      </c>
      <c r="H121" s="538" t="s">
        <v>398</v>
      </c>
      <c r="I121" s="538"/>
      <c r="J121" s="538"/>
      <c r="K121" s="538"/>
      <c r="L121" s="538"/>
      <c r="M121" s="538"/>
      <c r="N121" s="538"/>
      <c r="O121" s="538"/>
      <c r="P121" s="538"/>
      <c r="Q121" s="539"/>
      <c r="R121" s="211" t="s">
        <v>284</v>
      </c>
      <c r="S121" s="549"/>
      <c r="T121" s="133"/>
      <c r="U121" s="133"/>
      <c r="V121" s="84">
        <f>IF(R121="有",1,0)</f>
        <v>0</v>
      </c>
      <c r="W121" s="551"/>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3" t="str">
        <f>AF119</f>
        <v>-</v>
      </c>
      <c r="AG121" s="153">
        <v>1.5</v>
      </c>
      <c r="AH121" s="153">
        <v>1.5</v>
      </c>
      <c r="AI121" s="153">
        <v>1.5</v>
      </c>
      <c r="AK121" s="146">
        <f t="shared" si="17"/>
        <v>0</v>
      </c>
      <c r="AL121" s="154">
        <f t="shared" si="9"/>
        <v>0</v>
      </c>
      <c r="AM121" s="154">
        <f t="shared" si="10"/>
        <v>0</v>
      </c>
      <c r="AN121" s="305" t="e">
        <f>IF('1.基本データ(このシートは削除しないこと！)'!$H$17=2,MAX(AK121:AL121),0)</f>
        <v>#N/A</v>
      </c>
      <c r="AO121" s="305" t="e">
        <f>IF('1.基本データ(このシートは削除しないこと！)'!$H$17=3,MAX(AK121:AM121),0)</f>
        <v>#N/A</v>
      </c>
      <c r="AP121" s="306" t="e">
        <f>IF(AND('1.基本データ(このシートは削除しないこと！)'!$H$17=4,AF121="県内"),V121*AI121,0)</f>
        <v>#N/A</v>
      </c>
      <c r="AQ121" s="546"/>
      <c r="AR121" s="583"/>
      <c r="AS121" s="586"/>
      <c r="AT121" s="84">
        <f>IF(G121=リスト!Q4,1,IF(G121=リスト!Q5,2,0))</f>
        <v>0</v>
      </c>
      <c r="AU121" s="70">
        <f>AT121</f>
        <v>0</v>
      </c>
    </row>
    <row r="122" spans="1:47" ht="9.9" customHeight="1" x14ac:dyDescent="0.2">
      <c r="B122" s="426"/>
      <c r="C122" s="426"/>
      <c r="D122" s="426"/>
      <c r="E122" s="426"/>
      <c r="F122" s="426"/>
      <c r="G122" s="426"/>
      <c r="H122" s="426"/>
      <c r="I122" s="426"/>
      <c r="J122" s="426"/>
      <c r="K122" s="426"/>
      <c r="L122" s="426"/>
      <c r="M122" s="426"/>
      <c r="N122" s="426"/>
      <c r="O122" s="426"/>
      <c r="P122" s="426"/>
      <c r="Q122" s="426"/>
      <c r="R122" s="426"/>
      <c r="S122" s="426"/>
    </row>
    <row r="123" spans="1:47" ht="9" customHeight="1" x14ac:dyDescent="0.2"/>
    <row r="124" spans="1:47" ht="9" customHeight="1" x14ac:dyDescent="0.2"/>
    <row r="125" spans="1:47" ht="9" customHeight="1" x14ac:dyDescent="0.2"/>
    <row r="126" spans="1:47" ht="9" customHeight="1" x14ac:dyDescent="0.2"/>
  </sheetData>
  <sheetProtection algorithmName="SHA-512" hashValue="I+aF0wjLpniV4gpWCyFNjCXwYsf4QkgivrpheXc41VlbkoNSYpdAY/LZ1V28v88LfPz7lT9Fl25jdx1K5E8uZg==" saltValue="s1wMKle2BHtjVEvEjC65lg==" spinCount="100000" sheet="1" objects="1" scenarios="1"/>
  <mergeCells count="253">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AR119:AR121"/>
    <mergeCell ref="AS119:AS121"/>
    <mergeCell ref="S112:S114"/>
    <mergeCell ref="S115:S116"/>
    <mergeCell ref="S117:S118"/>
    <mergeCell ref="C91:D91"/>
    <mergeCell ref="K91:S91"/>
    <mergeCell ref="B88:D88"/>
    <mergeCell ref="B67:B80"/>
    <mergeCell ref="S79:S80"/>
    <mergeCell ref="R79:R80"/>
    <mergeCell ref="G92:H92"/>
    <mergeCell ref="A5:S5"/>
    <mergeCell ref="Q6:S6"/>
    <mergeCell ref="L10:S10"/>
    <mergeCell ref="L11:S12"/>
    <mergeCell ref="G12:K12"/>
    <mergeCell ref="G13:K13"/>
    <mergeCell ref="L13:S13"/>
    <mergeCell ref="G14:K14"/>
    <mergeCell ref="L14:S14"/>
    <mergeCell ref="G91:H91"/>
    <mergeCell ref="G90:H90"/>
    <mergeCell ref="G89:S89"/>
    <mergeCell ref="G75:H75"/>
    <mergeCell ref="G74:H74"/>
    <mergeCell ref="G73:H73"/>
    <mergeCell ref="G72:H72"/>
    <mergeCell ref="C63:D63"/>
    <mergeCell ref="AF99:AF100"/>
    <mergeCell ref="C99:D99"/>
    <mergeCell ref="I99:J99"/>
    <mergeCell ref="K99:S99"/>
    <mergeCell ref="G100:Q100"/>
    <mergeCell ref="G99:H99"/>
    <mergeCell ref="C93:D93"/>
    <mergeCell ref="I96:J96"/>
    <mergeCell ref="C95:D95"/>
    <mergeCell ref="G95:H95"/>
    <mergeCell ref="I97:J97"/>
    <mergeCell ref="K93:S93"/>
    <mergeCell ref="K94:S94"/>
    <mergeCell ref="K95:S95"/>
    <mergeCell ref="I94:J94"/>
    <mergeCell ref="I95:J95"/>
    <mergeCell ref="G98:H98"/>
    <mergeCell ref="G97:H97"/>
    <mergeCell ref="G96:H96"/>
    <mergeCell ref="I98:J98"/>
    <mergeCell ref="AQ112:AQ114"/>
    <mergeCell ref="H121:Q121"/>
    <mergeCell ref="H112:Q112"/>
    <mergeCell ref="AQ115:AQ116"/>
    <mergeCell ref="AQ117:AQ118"/>
    <mergeCell ref="AQ119:AQ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G102:H102"/>
    <mergeCell ref="G101:H101"/>
    <mergeCell ref="G106:H106"/>
    <mergeCell ref="G105:H105"/>
    <mergeCell ref="G104:H104"/>
    <mergeCell ref="F117:F118"/>
    <mergeCell ref="C112:C121"/>
    <mergeCell ref="B110:B121"/>
    <mergeCell ref="H119:Q119"/>
    <mergeCell ref="B108:S108"/>
    <mergeCell ref="H113:Q113"/>
    <mergeCell ref="H114:Q114"/>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C59:D60"/>
    <mergeCell ref="E59:E60"/>
    <mergeCell ref="F59:F60"/>
    <mergeCell ref="I72:Q72"/>
    <mergeCell ref="I73:L73"/>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C64:D64"/>
    <mergeCell ref="C66:D66"/>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E53:E55"/>
    <mergeCell ref="B51:D51"/>
    <mergeCell ref="AR112:AR114"/>
    <mergeCell ref="AS112:AS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K97:S97"/>
    <mergeCell ref="I91:J91"/>
    <mergeCell ref="I92:J92"/>
    <mergeCell ref="I93:J93"/>
    <mergeCell ref="B84:S84"/>
  </mergeCells>
  <phoneticPr fontId="36"/>
  <conditionalFormatting sqref="E110:G110 R110:R121 F111 E115:F115 E119:F120 F121">
    <cfRule type="expression" dxfId="11" priority="130">
      <formula>#REF!=0</formula>
    </cfRule>
  </conditionalFormatting>
  <conditionalFormatting sqref="E112:G112">
    <cfRule type="expression" dxfId="10" priority="1">
      <formula>#REF!=0</formula>
    </cfRule>
  </conditionalFormatting>
  <conditionalFormatting sqref="F119:F121">
    <cfRule type="expression" dxfId="9" priority="143">
      <formula>#REF!=2</formula>
    </cfRule>
  </conditionalFormatting>
  <conditionalFormatting sqref="F112:G112">
    <cfRule type="expression" dxfId="8" priority="2">
      <formula>#REF!&gt;2</formula>
    </cfRule>
  </conditionalFormatting>
  <conditionalFormatting sqref="H112:H114 G115:G118 E117:F117 H119:H121">
    <cfRule type="expression" dxfId="7" priority="71">
      <formula>#REF!=0</formula>
    </cfRule>
  </conditionalFormatting>
  <conditionalFormatting sqref="H112:H114 G115:G118 F117 H119:H121">
    <cfRule type="expression" dxfId="6" priority="72">
      <formula>#REF!&gt;2</formula>
    </cfRule>
  </conditionalFormatting>
  <conditionalFormatting sqref="H119:H121">
    <cfRule type="expression" dxfId="5" priority="11">
      <formula>#REF!=2</formula>
    </cfRule>
  </conditionalFormatting>
  <conditionalFormatting sqref="K102">
    <cfRule type="expression" dxfId="4" priority="69">
      <formula>#REF!=0</formula>
    </cfRule>
    <cfRule type="expression" dxfId="3" priority="70">
      <formula>#REF!&gt;2</formula>
    </cfRule>
  </conditionalFormatting>
  <conditionalFormatting sqref="K105">
    <cfRule type="expression" dxfId="2" priority="44">
      <formula>#REF!=0</formula>
    </cfRule>
    <cfRule type="expression" dxfId="1" priority="45">
      <formula>#REF!&gt;2</formula>
    </cfRule>
  </conditionalFormatting>
  <conditionalFormatting sqref="R110:R121 F115 F119:F121">
    <cfRule type="expression" dxfId="0" priority="148">
      <formula>#REF!&gt;2</formula>
    </cfRule>
  </conditionalFormatting>
  <dataValidations count="7">
    <dataValidation imeMode="disabled" allowBlank="1" showInputMessage="1" showErrorMessage="1" sqref="I55:J55 I54:L54 N54:Q54 P55 I57:L57 N57:Q57 I77:L78 N77:Q78 I73:L74 N73:Q74 I75:J75 P75 S70:S71" xr:uid="{00000000-0002-0000-0100-000000000000}"/>
    <dataValidation type="whole" imeMode="halfAlpha" allowBlank="1" showInputMessage="1" showErrorMessage="1" errorTitle="無効な入力" error="２桁で入力してください" prompt="2桁を入力してください" sqref="J56 J76" xr:uid="{00000000-0002-0000-0100-000001000000}">
      <formula1>10</formula1>
      <formula2>24</formula2>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disabled" operator="equal" allowBlank="1" showInputMessage="1" showErrorMessage="1" errorTitle="無効な入力" error="5桁で入力してください" prompt="5桁を入力してください" sqref="L56:M56 L76:M76" xr:uid="{00000000-0002-0000-0100-000003000000}">
      <formula1>5</formula1>
    </dataValidation>
    <dataValidation allowBlank="1" showInputMessage="1" showErrorMessage="1" prompt="「氏名」を入力" sqref="G68:H68" xr:uid="{00000000-0002-0000-0100-000004000000}"/>
    <dataValidation imeMode="disabled" allowBlank="1" showInputMessage="1" showErrorMessage="1" prompt="”年”が自動表示されます" sqref="S68:S69" xr:uid="{00000000-0002-0000-0100-000005000000}"/>
    <dataValidation allowBlank="1" showInputMessage="1" showErrorMessage="1" prompt="若手・女性技術者の「氏名」を入力" sqref="K98:Q98"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7000000}">
          <x14:formula1>
            <xm:f>リスト!$K$9:$K$12</xm:f>
          </x14:formula1>
          <xm:sqref>K99</xm:sqref>
        </x14:dataValidation>
        <x14:dataValidation type="list" allowBlank="1" showInputMessage="1" showErrorMessage="1" xr:uid="{00000000-0002-0000-0100-000008000000}">
          <x14:formula1>
            <xm:f>リスト!$M$4:$M$5</xm:f>
          </x14:formula1>
          <xm:sqref>K94:K97 S63:S65 I61:Q61 K91:K92 R110:R121</xm:sqref>
        </x14:dataValidation>
        <x14:dataValidation type="list" allowBlank="1" showInputMessage="1" showErrorMessage="1" xr:uid="{00000000-0002-0000-0100-000009000000}">
          <x14:formula1>
            <xm:f>リスト2!$C$3:$C$64</xm:f>
          </x14:formula1>
          <xm:sqref>K101 K104 S110:S112 S115 S117 S119:S121</xm:sqref>
        </x14:dataValidation>
        <x14:dataValidation type="list" allowBlank="1" showInputMessage="1" showErrorMessage="1" xr:uid="{00000000-0002-0000-0100-00000A000000}">
          <x14:formula1>
            <xm:f>リスト!$N$4:$N$7</xm:f>
          </x14:formula1>
          <xm:sqref>K102</xm:sqref>
        </x14:dataValidation>
        <x14:dataValidation type="list" allowBlank="1" showInputMessage="1" showErrorMessage="1" xr:uid="{00000000-0002-0000-0100-00000B000000}">
          <x14:formula1>
            <xm:f>リスト!$N$5:$N$7</xm:f>
          </x14:formula1>
          <xm:sqref>K105</xm:sqref>
        </x14:dataValidation>
        <x14:dataValidation type="list" allowBlank="1" showInputMessage="1" showErrorMessage="1" xr:uid="{00000000-0002-0000-0100-00000C000000}">
          <x14:formula1>
            <xm:f>リスト!$D$4:$D$7</xm:f>
          </x14:formula1>
          <xm:sqref>I58:L58</xm:sqref>
        </x14:dataValidation>
        <x14:dataValidation type="list" allowBlank="1" showInputMessage="1" showErrorMessage="1" prompt="選択" xr:uid="{00000000-0002-0000-0100-00000D000000}">
          <x14:formula1>
            <xm:f>リスト!$O$4:$O$6</xm:f>
          </x14:formula1>
          <xm:sqref>R98:S98</xm:sqref>
        </x14:dataValidation>
        <x14:dataValidation type="list" allowBlank="1" showInputMessage="1" showErrorMessage="1" xr:uid="{00000000-0002-0000-0100-00000E000000}">
          <x14:formula1>
            <xm:f>リスト!$Q$4:$Q$6</xm:f>
          </x14:formula1>
          <xm:sqref>G114 G121</xm:sqref>
        </x14:dataValidation>
        <x14:dataValidation type="list" allowBlank="1" showInputMessage="1" showErrorMessage="1" xr:uid="{00000000-0002-0000-0100-00000F000000}">
          <x14:formula1>
            <xm:f>リスト!$G$4:$G$5</xm:f>
          </x14:formula1>
          <xm:sqref>S62</xm:sqref>
        </x14:dataValidation>
        <x14:dataValidation type="list" allowBlank="1" showInputMessage="1" showErrorMessage="1" xr:uid="{00000000-0002-0000-0100-000010000000}">
          <x14:formula1>
            <xm:f>リスト!$T$4:$T$6</xm:f>
          </x14:formula1>
          <xm:sqref>S66</xm:sqref>
        </x14:dataValidation>
        <x14:dataValidation type="list" allowBlank="1" showInputMessage="1" showErrorMessage="1" xr:uid="{00000000-0002-0000-0100-000011000000}">
          <x14:formula1>
            <xm:f>リスト!$H$9:$H$10</xm:f>
          </x14:formula1>
          <xm:sqref>K90:S90</xm:sqref>
        </x14:dataValidation>
        <x14:dataValidation type="list" allowBlank="1" showInputMessage="1" showErrorMessage="1" xr:uid="{00000000-0002-0000-0100-000012000000}">
          <x14:formula1>
            <xm:f>リスト!$I$8:$I$9</xm:f>
          </x14:formula1>
          <xm:sqref>K93:S93</xm:sqref>
        </x14:dataValidation>
        <x14:dataValidation type="list" allowBlank="1" showInputMessage="1" showErrorMessage="1" xr:uid="{ABE5ADFC-15D4-4F78-A329-239944662780}">
          <x14:formula1>
            <xm:f>リスト!$E$4:$E$6</xm:f>
          </x14:formula1>
          <xm:sqref>S78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showGridLines="0" view="pageBreakPreview" zoomScale="85" zoomScaleNormal="85" zoomScaleSheetLayoutView="85" workbookViewId="0">
      <selection activeCell="B1" sqref="B1"/>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391" t="s">
        <v>313</v>
      </c>
      <c r="B2" s="391"/>
      <c r="C2" s="391"/>
      <c r="D2" s="391"/>
      <c r="E2" s="391"/>
      <c r="F2" s="391"/>
      <c r="G2" s="615" t="s">
        <v>271</v>
      </c>
      <c r="H2" s="615"/>
      <c r="I2" s="615"/>
      <c r="J2" s="615"/>
      <c r="K2" s="615"/>
      <c r="L2" s="615"/>
      <c r="M2" s="615"/>
      <c r="N2" s="615"/>
      <c r="O2" s="615"/>
      <c r="P2" s="615"/>
      <c r="Q2" s="615"/>
      <c r="R2" s="615"/>
      <c r="S2" s="615"/>
      <c r="T2" s="615"/>
      <c r="U2" s="615"/>
      <c r="V2" s="616" t="s">
        <v>333</v>
      </c>
      <c r="W2" s="616"/>
      <c r="X2" s="616"/>
      <c r="Y2" s="616"/>
      <c r="Z2" s="616"/>
      <c r="AA2" s="616"/>
    </row>
    <row r="3" spans="1:29" s="27" customFormat="1" ht="17.399999999999999" customHeight="1" thickBot="1" x14ac:dyDescent="0.25">
      <c r="A3" s="613" t="s">
        <v>384</v>
      </c>
      <c r="B3" s="613"/>
      <c r="C3" s="618" t="str">
        <f>'1.基本データ(このシートは削除しないこと！)'!H14&amp;'1.基本データ(このシートは削除しないこと！)'!H15</f>
        <v>第○○-○○○○○-○○○○号 ○○○○○○○○○○○○工事</v>
      </c>
      <c r="D3" s="618"/>
      <c r="E3" s="618"/>
      <c r="F3" s="618"/>
      <c r="G3" s="618"/>
      <c r="H3" s="618"/>
      <c r="I3" s="618"/>
      <c r="J3" s="618"/>
      <c r="K3" s="618"/>
      <c r="L3" s="618"/>
      <c r="M3" s="618"/>
      <c r="N3" s="618"/>
      <c r="O3" s="618"/>
      <c r="P3" s="618"/>
      <c r="Q3" s="618"/>
      <c r="R3" s="618"/>
      <c r="T3" s="205"/>
      <c r="U3" s="614" t="s">
        <v>383</v>
      </c>
      <c r="V3" s="614"/>
      <c r="W3" s="617" t="str">
        <f>IF('1.基本データ(このシートは削除しないこと！)'!H11=0,'1.基本データ(このシートは削除しないこと！)'!H7,'1.基本データ(このシートは削除しないこと！)'!H11)</f>
        <v>○○・△△特定建設工事共同企業体</v>
      </c>
      <c r="X3" s="617"/>
      <c r="Y3" s="617"/>
      <c r="Z3" s="617"/>
      <c r="AA3" s="617"/>
      <c r="AB3" s="205"/>
      <c r="AC3" s="204" t="s">
        <v>319</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272</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05"/>
      <c r="C6" s="607" t="s">
        <v>315</v>
      </c>
      <c r="D6" s="607"/>
      <c r="E6" s="607"/>
      <c r="F6" s="607"/>
      <c r="G6" s="607"/>
      <c r="H6" s="607"/>
      <c r="I6" s="607"/>
      <c r="J6" s="607"/>
      <c r="K6" s="607"/>
      <c r="L6" s="607"/>
      <c r="M6" s="607"/>
      <c r="N6" s="607"/>
      <c r="O6" s="607"/>
      <c r="P6" s="607"/>
      <c r="Q6" s="607"/>
      <c r="R6" s="607"/>
      <c r="S6" s="607"/>
      <c r="T6" s="607"/>
      <c r="U6" s="607"/>
      <c r="V6" s="607"/>
      <c r="W6" s="607"/>
      <c r="X6" s="607"/>
      <c r="Y6" s="607"/>
      <c r="Z6" s="607"/>
      <c r="AA6" s="608" t="s">
        <v>273</v>
      </c>
      <c r="AB6" s="22"/>
    </row>
    <row r="7" spans="1:29" x14ac:dyDescent="0.2">
      <c r="A7" s="23"/>
      <c r="B7" s="606"/>
      <c r="C7" s="610" t="s">
        <v>274</v>
      </c>
      <c r="D7" s="611"/>
      <c r="E7" s="611" t="s">
        <v>274</v>
      </c>
      <c r="F7" s="611"/>
      <c r="G7" s="611" t="s">
        <v>274</v>
      </c>
      <c r="H7" s="611"/>
      <c r="I7" s="611" t="s">
        <v>274</v>
      </c>
      <c r="J7" s="611"/>
      <c r="K7" s="611" t="s">
        <v>274</v>
      </c>
      <c r="L7" s="611"/>
      <c r="M7" s="611" t="s">
        <v>274</v>
      </c>
      <c r="N7" s="611"/>
      <c r="O7" s="611" t="s">
        <v>274</v>
      </c>
      <c r="P7" s="611"/>
      <c r="Q7" s="611" t="s">
        <v>274</v>
      </c>
      <c r="R7" s="611"/>
      <c r="S7" s="611" t="s">
        <v>274</v>
      </c>
      <c r="T7" s="611"/>
      <c r="U7" s="611" t="s">
        <v>274</v>
      </c>
      <c r="V7" s="611"/>
      <c r="W7" s="611" t="s">
        <v>274</v>
      </c>
      <c r="X7" s="611"/>
      <c r="Y7" s="611" t="s">
        <v>274</v>
      </c>
      <c r="Z7" s="612"/>
      <c r="AA7" s="609"/>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8"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A2:F2"/>
    <mergeCell ref="A3:B3"/>
    <mergeCell ref="U3:V3"/>
    <mergeCell ref="G2:U2"/>
    <mergeCell ref="V2:AA2"/>
    <mergeCell ref="W3:AA3"/>
    <mergeCell ref="C3:R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8"/>
  <sheetViews>
    <sheetView view="pageBreakPreview" zoomScaleNormal="100" zoomScaleSheetLayoutView="100" workbookViewId="0">
      <selection activeCell="A2" sqref="A2:AA2"/>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631" t="s">
        <v>275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row>
    <row r="3" spans="1:28" ht="13.5" customHeight="1" x14ac:dyDescent="0.2">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row>
    <row r="4" spans="1:28" ht="14.4" customHeight="1" x14ac:dyDescent="0.2">
      <c r="A4" s="633" t="s">
        <v>276</v>
      </c>
      <c r="B4" s="633"/>
      <c r="C4" s="633"/>
      <c r="D4" s="633"/>
      <c r="E4" s="633"/>
      <c r="G4" s="242" t="s">
        <v>277</v>
      </c>
      <c r="H4" s="243"/>
      <c r="I4" s="243"/>
      <c r="J4" s="243"/>
      <c r="K4" s="243"/>
      <c r="L4" s="243"/>
      <c r="M4" s="243"/>
      <c r="N4" s="243"/>
      <c r="O4" s="243"/>
      <c r="P4" s="243"/>
      <c r="Q4" s="243"/>
      <c r="R4" s="243"/>
      <c r="S4" s="243"/>
      <c r="T4" s="243"/>
      <c r="U4" s="243"/>
      <c r="V4" s="243"/>
      <c r="W4" s="27"/>
      <c r="X4" s="27"/>
      <c r="Y4" s="27"/>
      <c r="Z4" s="27"/>
      <c r="AA4" s="244" t="s">
        <v>332</v>
      </c>
    </row>
    <row r="5" spans="1:28" s="27" customFormat="1" ht="18.600000000000001" customHeight="1" thickBot="1" x14ac:dyDescent="0.25">
      <c r="A5" s="613" t="s">
        <v>382</v>
      </c>
      <c r="B5" s="613"/>
      <c r="C5" s="618" t="str">
        <f>'1.基本データ(このシートは削除しないこと！)'!H14&amp;'1.基本データ(このシートは削除しないこと！)'!H15</f>
        <v>第○○-○○○○○-○○○○号 ○○○○○○○○○○○○工事</v>
      </c>
      <c r="D5" s="618"/>
      <c r="E5" s="618"/>
      <c r="F5" s="618"/>
      <c r="G5" s="618"/>
      <c r="H5" s="618"/>
      <c r="I5" s="618"/>
      <c r="J5" s="618"/>
      <c r="K5" s="618"/>
      <c r="L5" s="618"/>
      <c r="M5" s="618"/>
      <c r="N5" s="618"/>
      <c r="O5" s="618"/>
      <c r="P5" s="618"/>
      <c r="Q5" s="618"/>
      <c r="S5" s="632" t="s">
        <v>383</v>
      </c>
      <c r="T5" s="632"/>
      <c r="U5" s="634" t="str">
        <f>IF('1.基本データ(このシートは削除しないこと！)'!H11=0,'1.基本データ(このシートは削除しないこと！)'!H7,'1.基本データ(このシートは削除しないこと！)'!H11)</f>
        <v>○○・△△特定建設工事共同企業体</v>
      </c>
      <c r="V5" s="634"/>
      <c r="W5" s="634"/>
      <c r="X5" s="634"/>
      <c r="Y5" s="634"/>
      <c r="Z5" s="634"/>
      <c r="AA5" s="634"/>
      <c r="AB5" s="204" t="s">
        <v>319</v>
      </c>
    </row>
    <row r="6" spans="1:28" ht="8.4" customHeight="1" thickBot="1" x14ac:dyDescent="0.25">
      <c r="A6" s="14"/>
      <c r="B6" s="14"/>
      <c r="C6" s="14"/>
      <c r="D6" s="28"/>
      <c r="E6" s="28"/>
      <c r="F6" s="28"/>
      <c r="G6" s="28"/>
      <c r="H6" s="28"/>
      <c r="I6" s="1"/>
      <c r="J6" s="15"/>
      <c r="K6" s="16"/>
      <c r="L6" s="16"/>
      <c r="M6" s="16"/>
      <c r="N6" s="16"/>
      <c r="O6" s="16"/>
      <c r="V6" s="245"/>
      <c r="AA6" s="22"/>
    </row>
    <row r="7" spans="1:28" x14ac:dyDescent="0.2">
      <c r="A7" s="246"/>
      <c r="B7" s="619" t="s">
        <v>314</v>
      </c>
      <c r="C7" s="619"/>
      <c r="D7" s="619"/>
      <c r="E7" s="619"/>
      <c r="F7" s="619"/>
      <c r="G7" s="619"/>
      <c r="H7" s="619"/>
      <c r="I7" s="619"/>
      <c r="J7" s="619"/>
      <c r="K7" s="619"/>
      <c r="L7" s="619"/>
      <c r="M7" s="619"/>
      <c r="N7" s="619"/>
      <c r="O7" s="619"/>
      <c r="P7" s="619"/>
      <c r="Q7" s="619"/>
      <c r="R7" s="619"/>
      <c r="S7" s="619"/>
      <c r="T7" s="619"/>
      <c r="U7" s="619"/>
      <c r="V7" s="619"/>
      <c r="W7" s="619"/>
      <c r="X7" s="619"/>
      <c r="Y7" s="619"/>
      <c r="Z7" s="619"/>
      <c r="AA7" s="620"/>
    </row>
    <row r="8" spans="1:28" ht="48.45" customHeight="1" x14ac:dyDescent="0.2">
      <c r="A8" s="621" t="s">
        <v>278</v>
      </c>
      <c r="B8" s="624" t="s">
        <v>280</v>
      </c>
      <c r="C8" s="625"/>
      <c r="D8" s="625"/>
      <c r="E8" s="625"/>
      <c r="F8" s="625"/>
      <c r="G8" s="625"/>
      <c r="H8" s="625"/>
      <c r="I8" s="625"/>
      <c r="J8" s="625"/>
      <c r="K8" s="625"/>
      <c r="L8" s="625"/>
      <c r="M8" s="625"/>
      <c r="N8" s="625"/>
      <c r="O8" s="625"/>
      <c r="P8" s="625"/>
      <c r="Q8" s="625"/>
      <c r="R8" s="625"/>
      <c r="S8" s="625"/>
      <c r="T8" s="625"/>
      <c r="U8" s="625"/>
      <c r="V8" s="625"/>
      <c r="W8" s="625"/>
      <c r="X8" s="625"/>
      <c r="Y8" s="625"/>
      <c r="Z8" s="625"/>
      <c r="AA8" s="626"/>
    </row>
    <row r="9" spans="1:28" ht="48.45" customHeight="1" x14ac:dyDescent="0.2">
      <c r="A9" s="622"/>
      <c r="B9" s="624"/>
      <c r="C9" s="625"/>
      <c r="D9" s="625"/>
      <c r="E9" s="625"/>
      <c r="F9" s="625"/>
      <c r="G9" s="625"/>
      <c r="H9" s="625"/>
      <c r="I9" s="625"/>
      <c r="J9" s="625"/>
      <c r="K9" s="625"/>
      <c r="L9" s="625"/>
      <c r="M9" s="625"/>
      <c r="N9" s="625"/>
      <c r="O9" s="625"/>
      <c r="P9" s="625"/>
      <c r="Q9" s="625"/>
      <c r="R9" s="625"/>
      <c r="S9" s="625"/>
      <c r="T9" s="625"/>
      <c r="U9" s="625"/>
      <c r="V9" s="625"/>
      <c r="W9" s="625"/>
      <c r="X9" s="625"/>
      <c r="Y9" s="625"/>
      <c r="Z9" s="625"/>
      <c r="AA9" s="626"/>
    </row>
    <row r="10" spans="1:28" ht="48.45" customHeight="1" x14ac:dyDescent="0.2">
      <c r="A10" s="622"/>
      <c r="B10" s="624"/>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6"/>
    </row>
    <row r="11" spans="1:28" ht="48.45" customHeight="1" x14ac:dyDescent="0.2">
      <c r="A11" s="622"/>
      <c r="B11" s="624"/>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6"/>
    </row>
    <row r="12" spans="1:28" ht="48.45" customHeight="1" x14ac:dyDescent="0.2">
      <c r="A12" s="622"/>
      <c r="B12" s="624"/>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6"/>
    </row>
    <row r="13" spans="1:28" ht="48.45" customHeight="1" x14ac:dyDescent="0.2">
      <c r="A13" s="622"/>
      <c r="B13" s="624"/>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6"/>
    </row>
    <row r="14" spans="1:28" ht="48.45" customHeight="1" x14ac:dyDescent="0.2">
      <c r="A14" s="622"/>
      <c r="B14" s="624"/>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6"/>
    </row>
    <row r="15" spans="1:28" ht="48.45" customHeight="1" x14ac:dyDescent="0.2">
      <c r="A15" s="622"/>
      <c r="B15" s="624"/>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6"/>
    </row>
    <row r="16" spans="1:28" ht="48.45" customHeight="1" x14ac:dyDescent="0.2">
      <c r="A16" s="622"/>
      <c r="B16" s="624"/>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6"/>
    </row>
    <row r="17" spans="1:27" ht="48.45" customHeight="1" thickBot="1" x14ac:dyDescent="0.25">
      <c r="A17" s="623"/>
      <c r="B17" s="627"/>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9"/>
    </row>
    <row r="18" spans="1:27" x14ac:dyDescent="0.2">
      <c r="A18" s="630" t="s">
        <v>279</v>
      </c>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T21"/>
  <sheetViews>
    <sheetView workbookViewId="0">
      <selection activeCell="A3" sqref="A3"/>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0" x14ac:dyDescent="0.2">
      <c r="A3" s="3" t="s">
        <v>38</v>
      </c>
      <c r="B3" s="3" t="s">
        <v>32</v>
      </c>
      <c r="C3" s="3" t="s">
        <v>16</v>
      </c>
      <c r="D3" s="3" t="s">
        <v>133</v>
      </c>
      <c r="E3" s="3" t="s">
        <v>135</v>
      </c>
      <c r="F3" s="3" t="s">
        <v>120</v>
      </c>
      <c r="G3" s="3" t="s">
        <v>196</v>
      </c>
      <c r="H3" s="3" t="s">
        <v>203</v>
      </c>
      <c r="I3" s="3" t="s">
        <v>201</v>
      </c>
      <c r="J3" s="3" t="s">
        <v>17</v>
      </c>
      <c r="K3" s="4" t="s">
        <v>18</v>
      </c>
      <c r="L3" s="3" t="s">
        <v>19</v>
      </c>
      <c r="M3" s="3" t="s">
        <v>20</v>
      </c>
      <c r="N3" s="3" t="s">
        <v>255</v>
      </c>
      <c r="O3" s="3" t="s">
        <v>309</v>
      </c>
      <c r="Q3" s="3" t="s">
        <v>425</v>
      </c>
      <c r="T3" s="3" t="s">
        <v>447</v>
      </c>
    </row>
    <row r="4" spans="1:20" x14ac:dyDescent="0.2">
      <c r="A4" s="3" t="s">
        <v>37</v>
      </c>
      <c r="B4" s="3" t="s">
        <v>33</v>
      </c>
      <c r="C4" s="3" t="s">
        <v>189</v>
      </c>
      <c r="D4" s="3" t="s">
        <v>375</v>
      </c>
      <c r="E4" s="3" t="s">
        <v>375</v>
      </c>
      <c r="F4" s="3" t="s">
        <v>121</v>
      </c>
      <c r="G4" s="158" t="s">
        <v>381</v>
      </c>
      <c r="H4" s="3" t="s">
        <v>204</v>
      </c>
      <c r="I4" s="3" t="s">
        <v>208</v>
      </c>
      <c r="J4" s="3" t="s">
        <v>168</v>
      </c>
      <c r="K4" s="3" t="s">
        <v>228</v>
      </c>
      <c r="L4" s="3" t="s">
        <v>23</v>
      </c>
      <c r="M4" s="3" t="s">
        <v>24</v>
      </c>
      <c r="N4" s="3" t="s">
        <v>256</v>
      </c>
      <c r="O4" s="3" t="s">
        <v>423</v>
      </c>
      <c r="Q4" s="3" t="s">
        <v>426</v>
      </c>
      <c r="T4" s="3" t="s">
        <v>448</v>
      </c>
    </row>
    <row r="5" spans="1:20" x14ac:dyDescent="0.2">
      <c r="A5" s="3" t="s">
        <v>36</v>
      </c>
      <c r="B5" s="3" t="s">
        <v>34</v>
      </c>
      <c r="C5" s="3" t="s">
        <v>377</v>
      </c>
      <c r="D5" s="3" t="s">
        <v>374</v>
      </c>
      <c r="E5" s="3" t="s">
        <v>374</v>
      </c>
      <c r="F5" s="3" t="s">
        <v>122</v>
      </c>
      <c r="G5" s="3" t="s">
        <v>29</v>
      </c>
      <c r="H5" s="3" t="s">
        <v>205</v>
      </c>
      <c r="I5" s="3" t="s">
        <v>209</v>
      </c>
      <c r="J5" s="3" t="s">
        <v>4</v>
      </c>
      <c r="K5" s="3" t="s">
        <v>29</v>
      </c>
      <c r="L5" s="3" t="s">
        <v>27</v>
      </c>
      <c r="M5" s="3" t="s">
        <v>29</v>
      </c>
      <c r="N5" s="3" t="s">
        <v>25</v>
      </c>
      <c r="O5" s="3" t="s">
        <v>424</v>
      </c>
      <c r="Q5" s="3" t="s">
        <v>427</v>
      </c>
      <c r="T5" s="3" t="s">
        <v>449</v>
      </c>
    </row>
    <row r="6" spans="1:20" x14ac:dyDescent="0.2">
      <c r="B6" s="3" t="s">
        <v>5</v>
      </c>
      <c r="C6" s="3" t="s">
        <v>29</v>
      </c>
      <c r="D6" s="3" t="s">
        <v>289</v>
      </c>
      <c r="E6" s="3" t="s">
        <v>29</v>
      </c>
      <c r="F6" s="3" t="s">
        <v>173</v>
      </c>
      <c r="H6" s="3" t="s">
        <v>206</v>
      </c>
      <c r="I6" s="3" t="s">
        <v>210</v>
      </c>
      <c r="J6" s="3" t="s">
        <v>29</v>
      </c>
      <c r="L6" s="3" t="s">
        <v>29</v>
      </c>
      <c r="N6" s="3" t="s">
        <v>4</v>
      </c>
      <c r="O6" s="3" t="s">
        <v>29</v>
      </c>
      <c r="Q6" s="3" t="s">
        <v>29</v>
      </c>
      <c r="T6" s="3" t="s">
        <v>445</v>
      </c>
    </row>
    <row r="7" spans="1:20" x14ac:dyDescent="0.2">
      <c r="B7" s="3" t="s">
        <v>35</v>
      </c>
      <c r="D7" s="3" t="s">
        <v>376</v>
      </c>
      <c r="F7" s="3" t="s">
        <v>174</v>
      </c>
      <c r="H7" s="3" t="s">
        <v>207</v>
      </c>
      <c r="I7" s="3" t="s">
        <v>29</v>
      </c>
      <c r="N7" s="3" t="s">
        <v>257</v>
      </c>
    </row>
    <row r="8" spans="1:20" x14ac:dyDescent="0.2">
      <c r="B8" s="3" t="s">
        <v>29</v>
      </c>
      <c r="F8" s="3" t="s">
        <v>175</v>
      </c>
      <c r="H8" s="3" t="s">
        <v>29</v>
      </c>
      <c r="I8" s="3" t="s">
        <v>458</v>
      </c>
    </row>
    <row r="9" spans="1:20" x14ac:dyDescent="0.2">
      <c r="F9" s="3" t="s">
        <v>176</v>
      </c>
      <c r="H9" s="3" t="s">
        <v>457</v>
      </c>
      <c r="I9" s="3" t="s">
        <v>29</v>
      </c>
      <c r="K9" s="3" t="s">
        <v>229</v>
      </c>
    </row>
    <row r="10" spans="1:20" x14ac:dyDescent="0.2">
      <c r="F10" s="3" t="s">
        <v>177</v>
      </c>
      <c r="H10" s="3" t="s">
        <v>29</v>
      </c>
      <c r="K10" s="3" t="s">
        <v>230</v>
      </c>
    </row>
    <row r="11" spans="1:20" x14ac:dyDescent="0.2">
      <c r="F11" s="3" t="s">
        <v>178</v>
      </c>
      <c r="K11" s="3" t="s">
        <v>231</v>
      </c>
    </row>
    <row r="12" spans="1:20" x14ac:dyDescent="0.2">
      <c r="F12" s="3" t="s">
        <v>179</v>
      </c>
      <c r="K12" s="3" t="s">
        <v>29</v>
      </c>
    </row>
    <row r="13" spans="1:20" x14ac:dyDescent="0.2">
      <c r="F13" s="3" t="s">
        <v>180</v>
      </c>
    </row>
    <row r="14" spans="1:20" x14ac:dyDescent="0.2">
      <c r="F14" s="3" t="s">
        <v>181</v>
      </c>
    </row>
    <row r="15" spans="1:20" x14ac:dyDescent="0.2">
      <c r="F15" s="3" t="s">
        <v>182</v>
      </c>
    </row>
    <row r="16" spans="1:20" x14ac:dyDescent="0.2">
      <c r="F16" s="3" t="s">
        <v>183</v>
      </c>
    </row>
    <row r="17" spans="6:6" x14ac:dyDescent="0.2">
      <c r="F17" s="3" t="s">
        <v>184</v>
      </c>
    </row>
    <row r="18" spans="6:6" x14ac:dyDescent="0.2">
      <c r="F18" s="3" t="s">
        <v>185</v>
      </c>
    </row>
    <row r="19" spans="6:6" x14ac:dyDescent="0.2">
      <c r="F19" s="3" t="s">
        <v>186</v>
      </c>
    </row>
    <row r="20" spans="6:6" x14ac:dyDescent="0.2">
      <c r="F20" s="3" t="s">
        <v>187</v>
      </c>
    </row>
    <row r="21" spans="6:6" x14ac:dyDescent="0.2">
      <c r="F21" s="3" t="s">
        <v>188</v>
      </c>
    </row>
  </sheetData>
  <sheetProtection algorithmName="SHA-512" hashValue="c5v/uyKwSLBy1RH+6UsJ7FnNuZioXWRiJ4lWco+tjmTBPBTfsyqAEE9yqG9x3226jqNdt46FMSJAH/EpofXhlg==" saltValue="MJJdTYC6AZyoTt7+O6uXYQ=="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65"/>
  <sheetViews>
    <sheetView zoomScaleNormal="100" zoomScaleSheetLayoutView="100" workbookViewId="0">
      <selection activeCell="C2" sqref="C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141</v>
      </c>
      <c r="C2" s="5" t="s">
        <v>117</v>
      </c>
      <c r="D2" s="6" t="s">
        <v>140</v>
      </c>
      <c r="E2" s="5" t="s">
        <v>118</v>
      </c>
      <c r="F2" s="182" t="s">
        <v>346</v>
      </c>
      <c r="G2" s="5" t="s">
        <v>32</v>
      </c>
      <c r="H2" s="2" t="s">
        <v>221</v>
      </c>
      <c r="I2" s="2"/>
    </row>
    <row r="3" spans="2:9" x14ac:dyDescent="0.2">
      <c r="B3" s="7">
        <v>1</v>
      </c>
      <c r="C3" s="7" t="s">
        <v>60</v>
      </c>
      <c r="D3" s="7" t="s">
        <v>39</v>
      </c>
      <c r="E3" s="7" t="s">
        <v>55</v>
      </c>
      <c r="F3" s="2" t="s">
        <v>5</v>
      </c>
      <c r="G3" s="7" t="s">
        <v>33</v>
      </c>
      <c r="H3" s="2" t="s">
        <v>222</v>
      </c>
      <c r="I3" s="2">
        <v>2</v>
      </c>
    </row>
    <row r="4" spans="2:9" x14ac:dyDescent="0.2">
      <c r="B4" s="7">
        <v>2</v>
      </c>
      <c r="C4" s="7" t="s">
        <v>61</v>
      </c>
      <c r="D4" s="7" t="s">
        <v>39</v>
      </c>
      <c r="E4" s="7" t="s">
        <v>55</v>
      </c>
      <c r="F4" s="2" t="s">
        <v>5</v>
      </c>
      <c r="G4" s="7" t="s">
        <v>34</v>
      </c>
      <c r="H4" s="2" t="s">
        <v>223</v>
      </c>
      <c r="I4" s="2">
        <v>3</v>
      </c>
    </row>
    <row r="5" spans="2:9" x14ac:dyDescent="0.2">
      <c r="B5" s="7">
        <v>3</v>
      </c>
      <c r="C5" s="7" t="s">
        <v>62</v>
      </c>
      <c r="D5" s="7" t="s">
        <v>40</v>
      </c>
      <c r="E5" s="7" t="s">
        <v>55</v>
      </c>
      <c r="F5" s="2" t="s">
        <v>5</v>
      </c>
      <c r="G5" s="7" t="s">
        <v>5</v>
      </c>
      <c r="H5" s="2" t="s">
        <v>223</v>
      </c>
      <c r="I5" s="2">
        <v>3</v>
      </c>
    </row>
    <row r="6" spans="2:9" x14ac:dyDescent="0.2">
      <c r="B6" s="7">
        <v>4</v>
      </c>
      <c r="C6" s="7" t="s">
        <v>63</v>
      </c>
      <c r="D6" s="7" t="s">
        <v>40</v>
      </c>
      <c r="E6" s="7" t="s">
        <v>55</v>
      </c>
      <c r="F6" s="2" t="s">
        <v>5</v>
      </c>
      <c r="G6" s="7" t="s">
        <v>35</v>
      </c>
      <c r="H6" s="2" t="s">
        <v>224</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139</v>
      </c>
      <c r="D64" s="2" t="s">
        <v>139</v>
      </c>
      <c r="E64" s="2" t="s">
        <v>139</v>
      </c>
      <c r="F64" s="2" t="s">
        <v>347</v>
      </c>
    </row>
    <row r="65" spans="2:6" x14ac:dyDescent="0.2">
      <c r="B65" s="2"/>
      <c r="C65" s="2" t="s">
        <v>142</v>
      </c>
      <c r="D65" s="2" t="s">
        <v>142</v>
      </c>
      <c r="E65" s="2" t="s">
        <v>142</v>
      </c>
      <c r="F65" s="2"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2024-04-14T23:33:43Z</cp:lastPrinted>
  <dcterms:created xsi:type="dcterms:W3CDTF">2018-06-11T09:00:18Z</dcterms:created>
  <dcterms:modified xsi:type="dcterms:W3CDTF">2025-05-07T02:57:44Z</dcterms:modified>
</cp:coreProperties>
</file>